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ni\Documents\"/>
    </mc:Choice>
  </mc:AlternateContent>
  <bookViews>
    <workbookView xWindow="0" yWindow="0" windowWidth="28695" windowHeight="10635"/>
  </bookViews>
  <sheets>
    <sheet name="Übersicht Anmeldungen OBL 2021" sheetId="19" r:id="rId1"/>
    <sheet name="Mannschaftswettb. - Mannschaft" sheetId="20" r:id="rId2"/>
  </sheets>
  <definedNames>
    <definedName name="_xlnm.Print_Area" localSheetId="0">'Übersicht Anmeldungen OBL 2021'!$A$1:$AE$75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12" i="19" l="1"/>
  <c r="AH20" i="19"/>
  <c r="AH28" i="19"/>
  <c r="AH44" i="19"/>
  <c r="AH52" i="19"/>
  <c r="AH60" i="19"/>
  <c r="AF5" i="19"/>
  <c r="AH5" i="19" s="1"/>
  <c r="AF7" i="19"/>
  <c r="AF6" i="19" s="1"/>
  <c r="AF8" i="19"/>
  <c r="AH8" i="19" s="1"/>
  <c r="AF9" i="19"/>
  <c r="AF10" i="19"/>
  <c r="AH10" i="19" s="1"/>
  <c r="AF12" i="19"/>
  <c r="AF13" i="19"/>
  <c r="AH13" i="19" s="1"/>
  <c r="AF14" i="19"/>
  <c r="AH14" i="19" s="1"/>
  <c r="AF15" i="19"/>
  <c r="AF16" i="19"/>
  <c r="AH16" i="19" s="1"/>
  <c r="AF17" i="19"/>
  <c r="AF19" i="19"/>
  <c r="AH19" i="19" s="1"/>
  <c r="AF20" i="19"/>
  <c r="AF18" i="19" s="1"/>
  <c r="AF21" i="19"/>
  <c r="AH21" i="19" s="1"/>
  <c r="AF22" i="19"/>
  <c r="AH22" i="19" s="1"/>
  <c r="AF23" i="19"/>
  <c r="AF24" i="19"/>
  <c r="AH24" i="19" s="1"/>
  <c r="AF25" i="19"/>
  <c r="AF26" i="19"/>
  <c r="AH26" i="19" s="1"/>
  <c r="AF27" i="19"/>
  <c r="AH27" i="19" s="1"/>
  <c r="AF28" i="19"/>
  <c r="AF30" i="19"/>
  <c r="AH30" i="19" s="1"/>
  <c r="AF31" i="19"/>
  <c r="AF32" i="19"/>
  <c r="AH32" i="19" s="1"/>
  <c r="AF33" i="19"/>
  <c r="AF34" i="19"/>
  <c r="AH34" i="19" s="1"/>
  <c r="AF35" i="19"/>
  <c r="AH35" i="19" s="1"/>
  <c r="AF37" i="19"/>
  <c r="AH37" i="19" s="1"/>
  <c r="AF38" i="19"/>
  <c r="AH38" i="19" s="1"/>
  <c r="AF39" i="19"/>
  <c r="AF40" i="19"/>
  <c r="AH40" i="19" s="1"/>
  <c r="AF42" i="19"/>
  <c r="AF41" i="19" s="1"/>
  <c r="AF43" i="19"/>
  <c r="AH43" i="19" s="1"/>
  <c r="AF44" i="19"/>
  <c r="AF45" i="19"/>
  <c r="AH45" i="19" s="1"/>
  <c r="AF46" i="19"/>
  <c r="AH46" i="19" s="1"/>
  <c r="AF47" i="19"/>
  <c r="AF48" i="19"/>
  <c r="AH48" i="19" s="1"/>
  <c r="AF50" i="19"/>
  <c r="AF49" i="19" s="1"/>
  <c r="AF51" i="19"/>
  <c r="AH51" i="19" s="1"/>
  <c r="AF52" i="19"/>
  <c r="AF53" i="19"/>
  <c r="AH53" i="19" s="1"/>
  <c r="AF54" i="19"/>
  <c r="AH54" i="19" s="1"/>
  <c r="AF55" i="19"/>
  <c r="AF56" i="19"/>
  <c r="AH56" i="19" s="1"/>
  <c r="AF57" i="19"/>
  <c r="AF59" i="19"/>
  <c r="AH59" i="19" s="1"/>
  <c r="AF60" i="19"/>
  <c r="AF61" i="19"/>
  <c r="AH61" i="19" s="1"/>
  <c r="AF62" i="19"/>
  <c r="AH62" i="19" s="1"/>
  <c r="AF64" i="19"/>
  <c r="AF66" i="19"/>
  <c r="AF65" i="19" s="1"/>
  <c r="AF68" i="19"/>
  <c r="AH68" i="19" s="1"/>
  <c r="AF70" i="19"/>
  <c r="AH70" i="19" s="1"/>
  <c r="AF71" i="19"/>
  <c r="AF72" i="19"/>
  <c r="AH72" i="19" s="1"/>
  <c r="AF73" i="19"/>
  <c r="E41" i="20"/>
  <c r="E40" i="20"/>
  <c r="E39" i="20"/>
  <c r="E38" i="20"/>
  <c r="E37" i="20"/>
  <c r="E36" i="20"/>
  <c r="E35" i="20"/>
  <c r="E34" i="20"/>
  <c r="E33" i="20"/>
  <c r="E32" i="20"/>
  <c r="E31" i="20"/>
  <c r="E30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E10" i="20"/>
  <c r="E9" i="20"/>
  <c r="E8" i="20"/>
  <c r="E7" i="20"/>
  <c r="E6" i="20"/>
  <c r="E5" i="20"/>
  <c r="E4" i="20"/>
  <c r="E3" i="20"/>
  <c r="AF29" i="19" l="1"/>
  <c r="AH66" i="19"/>
  <c r="AH50" i="19"/>
  <c r="AH42" i="19"/>
  <c r="AF36" i="19"/>
  <c r="AF4" i="19"/>
  <c r="AH73" i="19"/>
  <c r="AH57" i="19"/>
  <c r="AH33" i="19"/>
  <c r="AH25" i="19"/>
  <c r="AH17" i="19"/>
  <c r="AH9" i="19"/>
  <c r="AF67" i="19"/>
  <c r="AF11" i="19"/>
  <c r="AH64" i="19"/>
  <c r="AF58" i="19"/>
  <c r="AH71" i="19"/>
  <c r="AH55" i="19"/>
  <c r="AH47" i="19"/>
  <c r="AH39" i="19"/>
  <c r="AH31" i="19"/>
  <c r="AH23" i="19"/>
  <c r="AH15" i="19"/>
  <c r="AH7" i="19"/>
  <c r="AF63" i="19"/>
  <c r="AF69" i="19"/>
  <c r="AF3" i="19"/>
  <c r="Z5" i="19"/>
  <c r="Z7" i="19"/>
  <c r="Z8" i="19"/>
  <c r="Z9" i="19"/>
  <c r="Z10" i="19"/>
  <c r="Z12" i="19"/>
  <c r="Z13" i="19"/>
  <c r="Z14" i="19"/>
  <c r="Z15" i="19"/>
  <c r="Z16" i="19"/>
  <c r="Z17" i="19"/>
  <c r="Z19" i="19"/>
  <c r="Z20" i="19"/>
  <c r="Z21" i="19"/>
  <c r="Z22" i="19"/>
  <c r="Z23" i="19"/>
  <c r="Z24" i="19"/>
  <c r="Z25" i="19"/>
  <c r="Z26" i="19"/>
  <c r="Z27" i="19"/>
  <c r="Z28" i="19"/>
  <c r="Z30" i="19"/>
  <c r="Z31" i="19"/>
  <c r="Z32" i="19"/>
  <c r="Z33" i="19"/>
  <c r="Z34" i="19"/>
  <c r="Z35" i="19"/>
  <c r="Z37" i="19"/>
  <c r="Z38" i="19"/>
  <c r="Z39" i="19"/>
  <c r="Z40" i="19"/>
  <c r="Z42" i="19"/>
  <c r="Z43" i="19"/>
  <c r="Z44" i="19"/>
  <c r="Z45" i="19"/>
  <c r="Z46" i="19"/>
  <c r="Z47" i="19"/>
  <c r="Z48" i="19"/>
  <c r="Z50" i="19"/>
  <c r="Z51" i="19"/>
  <c r="Z52" i="19"/>
  <c r="Z53" i="19"/>
  <c r="Z54" i="19"/>
  <c r="Z55" i="19"/>
  <c r="Z56" i="19"/>
  <c r="Z57" i="19"/>
  <c r="Z59" i="19"/>
  <c r="Z60" i="19"/>
  <c r="Z61" i="19"/>
  <c r="Z62" i="19"/>
  <c r="Z64" i="19"/>
  <c r="Z66" i="19"/>
  <c r="Z68" i="19"/>
  <c r="Z70" i="19"/>
  <c r="Z71" i="19"/>
  <c r="Z72" i="19"/>
  <c r="Z73" i="19"/>
  <c r="X69" i="19"/>
  <c r="X67" i="19"/>
  <c r="X65" i="19"/>
  <c r="X63" i="19"/>
  <c r="X58" i="19"/>
  <c r="X49" i="19"/>
  <c r="X41" i="19"/>
  <c r="X36" i="19"/>
  <c r="X29" i="19"/>
  <c r="X18" i="19"/>
  <c r="X11" i="19"/>
  <c r="X6" i="19"/>
  <c r="X4" i="19"/>
  <c r="Y69" i="19"/>
  <c r="Y67" i="19"/>
  <c r="Y65" i="19"/>
  <c r="Y63" i="19"/>
  <c r="Z63" i="19" s="1"/>
  <c r="Y58" i="19"/>
  <c r="Y49" i="19"/>
  <c r="Z49" i="19" s="1"/>
  <c r="Y41" i="19"/>
  <c r="Y36" i="19"/>
  <c r="Y29" i="19"/>
  <c r="Y18" i="19"/>
  <c r="Y11" i="19"/>
  <c r="Y6" i="19"/>
  <c r="Z6" i="19" s="1"/>
  <c r="Y4" i="19"/>
  <c r="Z65" i="19" l="1"/>
  <c r="Z4" i="19"/>
  <c r="Z58" i="19"/>
  <c r="Z11" i="19"/>
  <c r="Z41" i="19"/>
  <c r="Z67" i="19"/>
  <c r="Z18" i="19"/>
  <c r="Z29" i="19"/>
  <c r="Z69" i="19"/>
  <c r="Z36" i="19"/>
  <c r="Y3" i="19"/>
  <c r="X3" i="19"/>
  <c r="Q30" i="19"/>
  <c r="Q31" i="19"/>
  <c r="Q32" i="19"/>
  <c r="Q33" i="19"/>
  <c r="Q34" i="19"/>
  <c r="Q35" i="19"/>
  <c r="Z3" i="19" l="1"/>
  <c r="Q29" i="19"/>
  <c r="Q73" i="19"/>
  <c r="L73" i="19"/>
  <c r="H73" i="19"/>
  <c r="Q72" i="19"/>
  <c r="L72" i="19"/>
  <c r="H72" i="19"/>
  <c r="Q71" i="19"/>
  <c r="L71" i="19"/>
  <c r="H71" i="19"/>
  <c r="Q70" i="19"/>
  <c r="L70" i="19"/>
  <c r="H70" i="19"/>
  <c r="R69" i="19"/>
  <c r="P69" i="19"/>
  <c r="O69" i="19"/>
  <c r="N69" i="19"/>
  <c r="M69" i="19"/>
  <c r="K69" i="19"/>
  <c r="J69" i="19"/>
  <c r="I69" i="19"/>
  <c r="G69" i="19"/>
  <c r="F69" i="19"/>
  <c r="E69" i="19"/>
  <c r="C69" i="19"/>
  <c r="AH69" i="19" s="1"/>
  <c r="Q68" i="19"/>
  <c r="Q67" i="19" s="1"/>
  <c r="L68" i="19"/>
  <c r="L67" i="19" s="1"/>
  <c r="H68" i="19"/>
  <c r="R67" i="19"/>
  <c r="P67" i="19"/>
  <c r="O67" i="19"/>
  <c r="N67" i="19"/>
  <c r="M67" i="19"/>
  <c r="K67" i="19"/>
  <c r="J67" i="19"/>
  <c r="I67" i="19"/>
  <c r="G67" i="19"/>
  <c r="F67" i="19"/>
  <c r="E67" i="19"/>
  <c r="C67" i="19"/>
  <c r="AH67" i="19" s="1"/>
  <c r="Q66" i="19"/>
  <c r="Q65" i="19" s="1"/>
  <c r="L66" i="19"/>
  <c r="L65" i="19" s="1"/>
  <c r="H66" i="19"/>
  <c r="H65" i="19" s="1"/>
  <c r="R65" i="19"/>
  <c r="P65" i="19"/>
  <c r="O65" i="19"/>
  <c r="N65" i="19"/>
  <c r="M65" i="19"/>
  <c r="K65" i="19"/>
  <c r="J65" i="19"/>
  <c r="I65" i="19"/>
  <c r="G65" i="19"/>
  <c r="F65" i="19"/>
  <c r="E65" i="19"/>
  <c r="C65" i="19"/>
  <c r="AH65" i="19" s="1"/>
  <c r="Q64" i="19"/>
  <c r="Q63" i="19" s="1"/>
  <c r="L64" i="19"/>
  <c r="L63" i="19" s="1"/>
  <c r="H64" i="19"/>
  <c r="H63" i="19" s="1"/>
  <c r="R63" i="19"/>
  <c r="P63" i="19"/>
  <c r="O63" i="19"/>
  <c r="N63" i="19"/>
  <c r="M63" i="19"/>
  <c r="K63" i="19"/>
  <c r="J63" i="19"/>
  <c r="I63" i="19"/>
  <c r="G63" i="19"/>
  <c r="F63" i="19"/>
  <c r="E63" i="19"/>
  <c r="C63" i="19"/>
  <c r="AH63" i="19" s="1"/>
  <c r="Q62" i="19"/>
  <c r="L62" i="19"/>
  <c r="H62" i="19"/>
  <c r="Q61" i="19"/>
  <c r="L61" i="19"/>
  <c r="H61" i="19"/>
  <c r="Q60" i="19"/>
  <c r="L60" i="19"/>
  <c r="H60" i="19"/>
  <c r="Q59" i="19"/>
  <c r="L59" i="19"/>
  <c r="H59" i="19"/>
  <c r="R58" i="19"/>
  <c r="P58" i="19"/>
  <c r="O58" i="19"/>
  <c r="N58" i="19"/>
  <c r="M58" i="19"/>
  <c r="K58" i="19"/>
  <c r="J58" i="19"/>
  <c r="I58" i="19"/>
  <c r="G58" i="19"/>
  <c r="F58" i="19"/>
  <c r="E58" i="19"/>
  <c r="C58" i="19"/>
  <c r="AH58" i="19" s="1"/>
  <c r="Q57" i="19"/>
  <c r="L57" i="19"/>
  <c r="H57" i="19"/>
  <c r="Q56" i="19"/>
  <c r="L56" i="19"/>
  <c r="H56" i="19"/>
  <c r="Q55" i="19"/>
  <c r="L55" i="19"/>
  <c r="H55" i="19"/>
  <c r="Q54" i="19"/>
  <c r="L54" i="19"/>
  <c r="H54" i="19"/>
  <c r="Q53" i="19"/>
  <c r="L53" i="19"/>
  <c r="H53" i="19"/>
  <c r="Q52" i="19"/>
  <c r="L52" i="19"/>
  <c r="H52" i="19"/>
  <c r="Q51" i="19"/>
  <c r="L51" i="19"/>
  <c r="H51" i="19"/>
  <c r="Q50" i="19"/>
  <c r="L50" i="19"/>
  <c r="H50" i="19"/>
  <c r="R49" i="19"/>
  <c r="P49" i="19"/>
  <c r="O49" i="19"/>
  <c r="N49" i="19"/>
  <c r="M49" i="19"/>
  <c r="K49" i="19"/>
  <c r="J49" i="19"/>
  <c r="I49" i="19"/>
  <c r="G49" i="19"/>
  <c r="F49" i="19"/>
  <c r="E49" i="19"/>
  <c r="C49" i="19"/>
  <c r="AH49" i="19" s="1"/>
  <c r="Q48" i="19"/>
  <c r="L48" i="19"/>
  <c r="H48" i="19"/>
  <c r="Q47" i="19"/>
  <c r="L47" i="19"/>
  <c r="H47" i="19"/>
  <c r="Q46" i="19"/>
  <c r="L46" i="19"/>
  <c r="H46" i="19"/>
  <c r="Q45" i="19"/>
  <c r="L45" i="19"/>
  <c r="H45" i="19"/>
  <c r="Q44" i="19"/>
  <c r="L44" i="19"/>
  <c r="H44" i="19"/>
  <c r="Q43" i="19"/>
  <c r="L43" i="19"/>
  <c r="H43" i="19"/>
  <c r="Q42" i="19"/>
  <c r="L42" i="19"/>
  <c r="H42" i="19"/>
  <c r="R41" i="19"/>
  <c r="P41" i="19"/>
  <c r="O41" i="19"/>
  <c r="N41" i="19"/>
  <c r="M41" i="19"/>
  <c r="K41" i="19"/>
  <c r="J41" i="19"/>
  <c r="I41" i="19"/>
  <c r="G41" i="19"/>
  <c r="F41" i="19"/>
  <c r="E41" i="19"/>
  <c r="C41" i="19"/>
  <c r="AH41" i="19" s="1"/>
  <c r="Q40" i="19"/>
  <c r="L40" i="19"/>
  <c r="H40" i="19"/>
  <c r="Q39" i="19"/>
  <c r="L39" i="19"/>
  <c r="H39" i="19"/>
  <c r="Q38" i="19"/>
  <c r="L38" i="19"/>
  <c r="H38" i="19"/>
  <c r="Q37" i="19"/>
  <c r="L37" i="19"/>
  <c r="H37" i="19"/>
  <c r="R36" i="19"/>
  <c r="P36" i="19"/>
  <c r="O36" i="19"/>
  <c r="N36" i="19"/>
  <c r="M36" i="19"/>
  <c r="K36" i="19"/>
  <c r="J36" i="19"/>
  <c r="I36" i="19"/>
  <c r="G36" i="19"/>
  <c r="F36" i="19"/>
  <c r="E36" i="19"/>
  <c r="C36" i="19"/>
  <c r="AH36" i="19" s="1"/>
  <c r="L35" i="19"/>
  <c r="H35" i="19"/>
  <c r="L34" i="19"/>
  <c r="H34" i="19"/>
  <c r="L33" i="19"/>
  <c r="H33" i="19"/>
  <c r="L32" i="19"/>
  <c r="H32" i="19"/>
  <c r="L31" i="19"/>
  <c r="H31" i="19"/>
  <c r="L30" i="19"/>
  <c r="H30" i="19"/>
  <c r="R29" i="19"/>
  <c r="P29" i="19"/>
  <c r="O29" i="19"/>
  <c r="N29" i="19"/>
  <c r="M29" i="19"/>
  <c r="K29" i="19"/>
  <c r="J29" i="19"/>
  <c r="I29" i="19"/>
  <c r="G29" i="19"/>
  <c r="F29" i="19"/>
  <c r="E29" i="19"/>
  <c r="C29" i="19"/>
  <c r="AH29" i="19" s="1"/>
  <c r="Q28" i="19"/>
  <c r="L28" i="19"/>
  <c r="H28" i="19"/>
  <c r="Q27" i="19"/>
  <c r="L27" i="19"/>
  <c r="H27" i="19"/>
  <c r="Q26" i="19"/>
  <c r="L26" i="19"/>
  <c r="H26" i="19"/>
  <c r="Q25" i="19"/>
  <c r="L25" i="19"/>
  <c r="H25" i="19"/>
  <c r="Q24" i="19"/>
  <c r="L24" i="19"/>
  <c r="H24" i="19"/>
  <c r="Q23" i="19"/>
  <c r="L23" i="19"/>
  <c r="H23" i="19"/>
  <c r="Q22" i="19"/>
  <c r="L22" i="19"/>
  <c r="H22" i="19"/>
  <c r="Q21" i="19"/>
  <c r="L21" i="19"/>
  <c r="H21" i="19"/>
  <c r="Q20" i="19"/>
  <c r="L20" i="19"/>
  <c r="H20" i="19"/>
  <c r="Q19" i="19"/>
  <c r="L19" i="19"/>
  <c r="H19" i="19"/>
  <c r="R18" i="19"/>
  <c r="P18" i="19"/>
  <c r="O18" i="19"/>
  <c r="N18" i="19"/>
  <c r="M18" i="19"/>
  <c r="K18" i="19"/>
  <c r="J18" i="19"/>
  <c r="I18" i="19"/>
  <c r="G18" i="19"/>
  <c r="F18" i="19"/>
  <c r="E18" i="19"/>
  <c r="C18" i="19"/>
  <c r="AH18" i="19" s="1"/>
  <c r="Q17" i="19"/>
  <c r="L17" i="19"/>
  <c r="H17" i="19"/>
  <c r="Q16" i="19"/>
  <c r="L16" i="19"/>
  <c r="H16" i="19"/>
  <c r="Q15" i="19"/>
  <c r="L15" i="19"/>
  <c r="H15" i="19"/>
  <c r="Q14" i="19"/>
  <c r="L14" i="19"/>
  <c r="H14" i="19"/>
  <c r="Q13" i="19"/>
  <c r="L13" i="19"/>
  <c r="H13" i="19"/>
  <c r="Q12" i="19"/>
  <c r="L12" i="19"/>
  <c r="H12" i="19"/>
  <c r="R11" i="19"/>
  <c r="P11" i="19"/>
  <c r="O11" i="19"/>
  <c r="N11" i="19"/>
  <c r="M11" i="19"/>
  <c r="K11" i="19"/>
  <c r="J11" i="19"/>
  <c r="I11" i="19"/>
  <c r="G11" i="19"/>
  <c r="F11" i="19"/>
  <c r="E11" i="19"/>
  <c r="C11" i="19"/>
  <c r="AH11" i="19" s="1"/>
  <c r="Q10" i="19"/>
  <c r="L10" i="19"/>
  <c r="H10" i="19"/>
  <c r="Q9" i="19"/>
  <c r="L9" i="19"/>
  <c r="H9" i="19"/>
  <c r="Q8" i="19"/>
  <c r="L8" i="19"/>
  <c r="H8" i="19"/>
  <c r="Q7" i="19"/>
  <c r="L7" i="19"/>
  <c r="H7" i="19"/>
  <c r="R6" i="19"/>
  <c r="P6" i="19"/>
  <c r="O6" i="19"/>
  <c r="N6" i="19"/>
  <c r="M6" i="19"/>
  <c r="K6" i="19"/>
  <c r="J6" i="19"/>
  <c r="I6" i="19"/>
  <c r="G6" i="19"/>
  <c r="F6" i="19"/>
  <c r="E6" i="19"/>
  <c r="C6" i="19"/>
  <c r="AH6" i="19" s="1"/>
  <c r="Q5" i="19"/>
  <c r="Q4" i="19" s="1"/>
  <c r="L5" i="19"/>
  <c r="L4" i="19" s="1"/>
  <c r="H5" i="19"/>
  <c r="R4" i="19"/>
  <c r="P4" i="19"/>
  <c r="O4" i="19"/>
  <c r="N4" i="19"/>
  <c r="M4" i="19"/>
  <c r="K4" i="19"/>
  <c r="J4" i="19"/>
  <c r="I4" i="19"/>
  <c r="G4" i="19"/>
  <c r="F4" i="19"/>
  <c r="E4" i="19"/>
  <c r="C4" i="19"/>
  <c r="AH4" i="19" s="1"/>
  <c r="D50" i="19" l="1"/>
  <c r="D31" i="19"/>
  <c r="AG31" i="19" s="1"/>
  <c r="D39" i="19"/>
  <c r="AG39" i="19" s="1"/>
  <c r="H67" i="19"/>
  <c r="D68" i="19"/>
  <c r="D15" i="19"/>
  <c r="D70" i="19"/>
  <c r="L58" i="19"/>
  <c r="D59" i="19"/>
  <c r="AG59" i="19" s="1"/>
  <c r="D54" i="19"/>
  <c r="D53" i="19"/>
  <c r="Q49" i="19"/>
  <c r="L41" i="19"/>
  <c r="D43" i="19"/>
  <c r="D40" i="19"/>
  <c r="D37" i="19"/>
  <c r="D28" i="19"/>
  <c r="D26" i="19"/>
  <c r="D22" i="19"/>
  <c r="AG22" i="19" s="1"/>
  <c r="Q18" i="19"/>
  <c r="L18" i="19"/>
  <c r="D17" i="19"/>
  <c r="D13" i="19"/>
  <c r="D10" i="19"/>
  <c r="AG10" i="19" s="1"/>
  <c r="H6" i="19"/>
  <c r="D5" i="19"/>
  <c r="D71" i="19"/>
  <c r="AG71" i="19" s="1"/>
  <c r="L69" i="19"/>
  <c r="D73" i="19"/>
  <c r="D72" i="19"/>
  <c r="H69" i="19"/>
  <c r="D66" i="19"/>
  <c r="D64" i="19"/>
  <c r="AG64" i="19" s="1"/>
  <c r="D61" i="19"/>
  <c r="AG61" i="19" s="1"/>
  <c r="Q58" i="19"/>
  <c r="D62" i="19"/>
  <c r="D52" i="19"/>
  <c r="D56" i="19"/>
  <c r="D55" i="19"/>
  <c r="AG55" i="19" s="1"/>
  <c r="D51" i="19"/>
  <c r="AG51" i="19" s="1"/>
  <c r="D57" i="19"/>
  <c r="AG57" i="19" s="1"/>
  <c r="D42" i="19"/>
  <c r="AG42" i="19" s="1"/>
  <c r="D47" i="19"/>
  <c r="AG47" i="19" s="1"/>
  <c r="D48" i="19"/>
  <c r="AG48" i="19" s="1"/>
  <c r="D46" i="19"/>
  <c r="AG46" i="19" s="1"/>
  <c r="D44" i="19"/>
  <c r="AG44" i="19" s="1"/>
  <c r="D45" i="19"/>
  <c r="Q36" i="19"/>
  <c r="M3" i="19"/>
  <c r="D38" i="19"/>
  <c r="H36" i="19"/>
  <c r="D33" i="19"/>
  <c r="AG33" i="19" s="1"/>
  <c r="D34" i="19"/>
  <c r="AG34" i="19" s="1"/>
  <c r="D35" i="19"/>
  <c r="AG35" i="19" s="1"/>
  <c r="D32" i="19"/>
  <c r="D30" i="19"/>
  <c r="AG30" i="19" s="1"/>
  <c r="G3" i="19"/>
  <c r="D20" i="19"/>
  <c r="AG20" i="19" s="1"/>
  <c r="O3" i="19"/>
  <c r="J3" i="19"/>
  <c r="D24" i="19"/>
  <c r="D19" i="19"/>
  <c r="AG19" i="19" s="1"/>
  <c r="D25" i="19"/>
  <c r="D21" i="19"/>
  <c r="D23" i="19"/>
  <c r="D14" i="19"/>
  <c r="AG14" i="19" s="1"/>
  <c r="Q11" i="19"/>
  <c r="L11" i="19"/>
  <c r="D12" i="19"/>
  <c r="AG12" i="19" s="1"/>
  <c r="H11" i="19"/>
  <c r="D8" i="19"/>
  <c r="Q6" i="19"/>
  <c r="D9" i="19"/>
  <c r="AG9" i="19" s="1"/>
  <c r="D7" i="19"/>
  <c r="AG7" i="19" s="1"/>
  <c r="N3" i="19"/>
  <c r="K3" i="19"/>
  <c r="F3" i="19"/>
  <c r="C3" i="19"/>
  <c r="AH3" i="19" s="1"/>
  <c r="P3" i="19"/>
  <c r="L6" i="19"/>
  <c r="R3" i="19"/>
  <c r="AE31" i="19"/>
  <c r="H49" i="19"/>
  <c r="H58" i="19"/>
  <c r="D60" i="19"/>
  <c r="H29" i="19"/>
  <c r="L49" i="19"/>
  <c r="E3" i="19"/>
  <c r="H4" i="19"/>
  <c r="H41" i="19"/>
  <c r="I3" i="19"/>
  <c r="H18" i="19"/>
  <c r="D16" i="19"/>
  <c r="AG16" i="19" s="1"/>
  <c r="D27" i="19"/>
  <c r="AG27" i="19" s="1"/>
  <c r="L29" i="19"/>
  <c r="L36" i="19"/>
  <c r="Q41" i="19"/>
  <c r="Q69" i="19"/>
  <c r="AB66" i="19" l="1"/>
  <c r="AC66" i="19" s="1"/>
  <c r="AG66" i="19"/>
  <c r="AB8" i="19"/>
  <c r="AC8" i="19" s="1"/>
  <c r="AG8" i="19"/>
  <c r="AB25" i="19"/>
  <c r="AC25" i="19" s="1"/>
  <c r="AG25" i="19"/>
  <c r="AB32" i="19"/>
  <c r="AC32" i="19" s="1"/>
  <c r="AG32" i="19"/>
  <c r="AB45" i="19"/>
  <c r="AC45" i="19" s="1"/>
  <c r="AG45" i="19"/>
  <c r="AB13" i="19"/>
  <c r="AC13" i="19" s="1"/>
  <c r="AG13" i="19"/>
  <c r="AB40" i="19"/>
  <c r="AC40" i="19" s="1"/>
  <c r="AG40" i="19"/>
  <c r="AB70" i="19"/>
  <c r="AC70" i="19" s="1"/>
  <c r="AG70" i="19"/>
  <c r="AB37" i="19"/>
  <c r="AC37" i="19" s="1"/>
  <c r="AG37" i="19"/>
  <c r="AB56" i="19"/>
  <c r="AC56" i="19" s="1"/>
  <c r="AG56" i="19"/>
  <c r="AB72" i="19"/>
  <c r="AC72" i="19" s="1"/>
  <c r="AG72" i="19"/>
  <c r="AB17" i="19"/>
  <c r="AC17" i="19" s="1"/>
  <c r="AG17" i="19"/>
  <c r="AB43" i="19"/>
  <c r="AC43" i="19" s="1"/>
  <c r="AG43" i="19"/>
  <c r="AB15" i="19"/>
  <c r="AC15" i="19" s="1"/>
  <c r="AG15" i="19"/>
  <c r="AB24" i="19"/>
  <c r="AC24" i="19" s="1"/>
  <c r="AG24" i="19"/>
  <c r="AB52" i="19"/>
  <c r="AC52" i="19" s="1"/>
  <c r="AG52" i="19"/>
  <c r="AB73" i="19"/>
  <c r="AC73" i="19" s="1"/>
  <c r="AG73" i="19"/>
  <c r="D67" i="19"/>
  <c r="AG67" i="19" s="1"/>
  <c r="AG68" i="19"/>
  <c r="AB62" i="19"/>
  <c r="AC62" i="19" s="1"/>
  <c r="AG62" i="19"/>
  <c r="AB67" i="19"/>
  <c r="AC67" i="19" s="1"/>
  <c r="AB21" i="19"/>
  <c r="AC21" i="19" s="1"/>
  <c r="AG21" i="19"/>
  <c r="AB60" i="19"/>
  <c r="AC60" i="19" s="1"/>
  <c r="AG60" i="19"/>
  <c r="AB53" i="19"/>
  <c r="AC53" i="19" s="1"/>
  <c r="AG53" i="19"/>
  <c r="AB38" i="19"/>
  <c r="AC38" i="19" s="1"/>
  <c r="AG38" i="19"/>
  <c r="AB5" i="19"/>
  <c r="AC5" i="19" s="1"/>
  <c r="AG5" i="19"/>
  <c r="AB26" i="19"/>
  <c r="AC26" i="19" s="1"/>
  <c r="AG26" i="19"/>
  <c r="AB54" i="19"/>
  <c r="AC54" i="19" s="1"/>
  <c r="AG54" i="19"/>
  <c r="AB23" i="19"/>
  <c r="AC23" i="19" s="1"/>
  <c r="AG23" i="19"/>
  <c r="AB28" i="19"/>
  <c r="AC28" i="19" s="1"/>
  <c r="AG28" i="19"/>
  <c r="AB50" i="19"/>
  <c r="AC50" i="19" s="1"/>
  <c r="AG50" i="19"/>
  <c r="D11" i="19"/>
  <c r="AG11" i="19" s="1"/>
  <c r="AB64" i="19"/>
  <c r="AC64" i="19" s="1"/>
  <c r="D63" i="19"/>
  <c r="AG63" i="19" s="1"/>
  <c r="S9" i="19"/>
  <c r="AD9" i="19" s="1"/>
  <c r="AB9" i="19"/>
  <c r="AC9" i="19" s="1"/>
  <c r="S57" i="19"/>
  <c r="AD57" i="19" s="1"/>
  <c r="AB57" i="19"/>
  <c r="AC57" i="19" s="1"/>
  <c r="S59" i="19"/>
  <c r="AD59" i="19" s="1"/>
  <c r="AB59" i="19"/>
  <c r="AC59" i="19" s="1"/>
  <c r="S30" i="19"/>
  <c r="AD30" i="19" s="1"/>
  <c r="AB30" i="19"/>
  <c r="AC30" i="19" s="1"/>
  <c r="S51" i="19"/>
  <c r="AD51" i="19" s="1"/>
  <c r="AB51" i="19"/>
  <c r="AC51" i="19" s="1"/>
  <c r="S10" i="19"/>
  <c r="AD10" i="19" s="1"/>
  <c r="AB10" i="19"/>
  <c r="AC10" i="19" s="1"/>
  <c r="S44" i="19"/>
  <c r="AD44" i="19" s="1"/>
  <c r="AB44" i="19"/>
  <c r="AC44" i="19" s="1"/>
  <c r="S12" i="19"/>
  <c r="AD12" i="19" s="1"/>
  <c r="AB12" i="19"/>
  <c r="AC12" i="19" s="1"/>
  <c r="S19" i="19"/>
  <c r="AD19" i="19" s="1"/>
  <c r="AB19" i="19"/>
  <c r="AC19" i="19" s="1"/>
  <c r="S16" i="19"/>
  <c r="AD16" i="19" s="1"/>
  <c r="AB16" i="19"/>
  <c r="AC16" i="19" s="1"/>
  <c r="S46" i="19"/>
  <c r="AD46" i="19" s="1"/>
  <c r="AB46" i="19"/>
  <c r="AC46" i="19" s="1"/>
  <c r="S68" i="19"/>
  <c r="AD68" i="19" s="1"/>
  <c r="AB68" i="19"/>
  <c r="AC68" i="19" s="1"/>
  <c r="S47" i="19"/>
  <c r="AD47" i="19" s="1"/>
  <c r="AB47" i="19"/>
  <c r="AC47" i="19" s="1"/>
  <c r="S71" i="19"/>
  <c r="AD71" i="19" s="1"/>
  <c r="AB71" i="19"/>
  <c r="AC71" i="19" s="1"/>
  <c r="S22" i="19"/>
  <c r="AD22" i="19" s="1"/>
  <c r="AB22" i="19"/>
  <c r="AC22" i="19" s="1"/>
  <c r="S39" i="19"/>
  <c r="AD39" i="19" s="1"/>
  <c r="AB39" i="19"/>
  <c r="AC39" i="19" s="1"/>
  <c r="S55" i="19"/>
  <c r="AD55" i="19" s="1"/>
  <c r="AB55" i="19"/>
  <c r="AC55" i="19" s="1"/>
  <c r="S27" i="19"/>
  <c r="AD27" i="19" s="1"/>
  <c r="AB27" i="19"/>
  <c r="AC27" i="19" s="1"/>
  <c r="S35" i="19"/>
  <c r="AD35" i="19" s="1"/>
  <c r="AB35" i="19"/>
  <c r="AC35" i="19" s="1"/>
  <c r="S34" i="19"/>
  <c r="AD34" i="19" s="1"/>
  <c r="AB34" i="19"/>
  <c r="AC34" i="19" s="1"/>
  <c r="S33" i="19"/>
  <c r="AD33" i="19" s="1"/>
  <c r="AB33" i="19"/>
  <c r="AC33" i="19" s="1"/>
  <c r="S48" i="19"/>
  <c r="AD48" i="19" s="1"/>
  <c r="AB48" i="19"/>
  <c r="AC48" i="19" s="1"/>
  <c r="S7" i="19"/>
  <c r="AD7" i="19" s="1"/>
  <c r="AB7" i="19"/>
  <c r="AC7" i="19" s="1"/>
  <c r="S14" i="19"/>
  <c r="AD14" i="19" s="1"/>
  <c r="AB14" i="19"/>
  <c r="AC14" i="19" s="1"/>
  <c r="S20" i="19"/>
  <c r="AD20" i="19" s="1"/>
  <c r="AB20" i="19"/>
  <c r="AC20" i="19" s="1"/>
  <c r="S42" i="19"/>
  <c r="AD42" i="19" s="1"/>
  <c r="AB42" i="19"/>
  <c r="AC42" i="19" s="1"/>
  <c r="S61" i="19"/>
  <c r="AD61" i="19" s="1"/>
  <c r="AB61" i="19"/>
  <c r="AC61" i="19" s="1"/>
  <c r="S31" i="19"/>
  <c r="AD31" i="19" s="1"/>
  <c r="AB31" i="19"/>
  <c r="AC31" i="19" s="1"/>
  <c r="AE10" i="19"/>
  <c r="AE55" i="19"/>
  <c r="AE39" i="19"/>
  <c r="AE44" i="19"/>
  <c r="AE40" i="19"/>
  <c r="S40" i="19"/>
  <c r="AD40" i="19" s="1"/>
  <c r="AE70" i="19"/>
  <c r="S70" i="19"/>
  <c r="AD70" i="19" s="1"/>
  <c r="AE37" i="19"/>
  <c r="S37" i="19"/>
  <c r="AD37" i="19" s="1"/>
  <c r="AE45" i="19"/>
  <c r="S45" i="19"/>
  <c r="AD45" i="19" s="1"/>
  <c r="AE24" i="19"/>
  <c r="S24" i="19"/>
  <c r="AD24" i="19" s="1"/>
  <c r="AE56" i="19"/>
  <c r="S56" i="19"/>
  <c r="AD56" i="19" s="1"/>
  <c r="AE72" i="19"/>
  <c r="S72" i="19"/>
  <c r="AD72" i="19" s="1"/>
  <c r="AE17" i="19"/>
  <c r="S17" i="19"/>
  <c r="AD17" i="19" s="1"/>
  <c r="AE43" i="19"/>
  <c r="S43" i="19"/>
  <c r="AD43" i="19" s="1"/>
  <c r="AE15" i="19"/>
  <c r="S15" i="19"/>
  <c r="AD15" i="19" s="1"/>
  <c r="AE25" i="19"/>
  <c r="S25" i="19"/>
  <c r="AD25" i="19" s="1"/>
  <c r="AE38" i="19"/>
  <c r="S38" i="19"/>
  <c r="AD38" i="19" s="1"/>
  <c r="AE53" i="19"/>
  <c r="S53" i="19"/>
  <c r="AD53" i="19" s="1"/>
  <c r="AE8" i="19"/>
  <c r="S8" i="19"/>
  <c r="AD8" i="19" s="1"/>
  <c r="AE32" i="19"/>
  <c r="S32" i="19"/>
  <c r="AD32" i="19" s="1"/>
  <c r="AE66" i="19"/>
  <c r="S66" i="19"/>
  <c r="AD66" i="19" s="1"/>
  <c r="AE73" i="19"/>
  <c r="S73" i="19"/>
  <c r="AD73" i="19" s="1"/>
  <c r="AE62" i="19"/>
  <c r="S62" i="19"/>
  <c r="AD62" i="19" s="1"/>
  <c r="AE23" i="19"/>
  <c r="S23" i="19"/>
  <c r="AD23" i="19" s="1"/>
  <c r="S5" i="19"/>
  <c r="AD5" i="19" s="1"/>
  <c r="AE26" i="19"/>
  <c r="S26" i="19"/>
  <c r="AD26" i="19" s="1"/>
  <c r="AE54" i="19"/>
  <c r="S54" i="19"/>
  <c r="AD54" i="19" s="1"/>
  <c r="AE13" i="19"/>
  <c r="S13" i="19"/>
  <c r="AD13" i="19" s="1"/>
  <c r="AE52" i="19"/>
  <c r="S52" i="19"/>
  <c r="AD52" i="19" s="1"/>
  <c r="AE21" i="19"/>
  <c r="S21" i="19"/>
  <c r="AD21" i="19" s="1"/>
  <c r="S64" i="19"/>
  <c r="AD64" i="19" s="1"/>
  <c r="AE28" i="19"/>
  <c r="S28" i="19"/>
  <c r="AD28" i="19" s="1"/>
  <c r="AE50" i="19"/>
  <c r="S50" i="19"/>
  <c r="AD50" i="19" s="1"/>
  <c r="AE22" i="19"/>
  <c r="AE42" i="19"/>
  <c r="AE71" i="19"/>
  <c r="AE61" i="19"/>
  <c r="AE59" i="19"/>
  <c r="AE48" i="19"/>
  <c r="AE47" i="19"/>
  <c r="D36" i="19"/>
  <c r="AG36" i="19" s="1"/>
  <c r="AE35" i="19"/>
  <c r="AE9" i="19"/>
  <c r="D6" i="19"/>
  <c r="AG6" i="19" s="1"/>
  <c r="D4" i="19"/>
  <c r="AG4" i="19" s="1"/>
  <c r="AE5" i="19"/>
  <c r="D69" i="19"/>
  <c r="D65" i="19"/>
  <c r="AG65" i="19" s="1"/>
  <c r="AE64" i="19"/>
  <c r="D58" i="19"/>
  <c r="AG58" i="19" s="1"/>
  <c r="D49" i="19"/>
  <c r="AG49" i="19" s="1"/>
  <c r="AE57" i="19"/>
  <c r="AE51" i="19"/>
  <c r="D41" i="19"/>
  <c r="AG41" i="19" s="1"/>
  <c r="AE46" i="19"/>
  <c r="AE34" i="19"/>
  <c r="AE33" i="19"/>
  <c r="D29" i="19"/>
  <c r="AG29" i="19" s="1"/>
  <c r="AE30" i="19"/>
  <c r="AE20" i="19"/>
  <c r="AE19" i="19"/>
  <c r="AE14" i="19"/>
  <c r="Q3" i="19"/>
  <c r="AE12" i="19"/>
  <c r="AE7" i="19"/>
  <c r="L3" i="19"/>
  <c r="AE60" i="19"/>
  <c r="S60" i="19"/>
  <c r="AD60" i="19" s="1"/>
  <c r="AE27" i="19"/>
  <c r="AE16" i="19"/>
  <c r="H3" i="19"/>
  <c r="AE68" i="19"/>
  <c r="D18" i="19"/>
  <c r="AB69" i="19" l="1"/>
  <c r="AC69" i="19" s="1"/>
  <c r="AG69" i="19"/>
  <c r="AB18" i="19"/>
  <c r="AC18" i="19" s="1"/>
  <c r="AG18" i="19"/>
  <c r="AB11" i="19"/>
  <c r="AC11" i="19" s="1"/>
  <c r="AB6" i="19"/>
  <c r="AC6" i="19" s="1"/>
  <c r="AB63" i="19"/>
  <c r="AC63" i="19" s="1"/>
  <c r="S67" i="19"/>
  <c r="AD67" i="19" s="1"/>
  <c r="AB29" i="19"/>
  <c r="AC29" i="19" s="1"/>
  <c r="AB58" i="19"/>
  <c r="AC58" i="19" s="1"/>
  <c r="AB36" i="19"/>
  <c r="AC36" i="19" s="1"/>
  <c r="AB41" i="19"/>
  <c r="AC41" i="19" s="1"/>
  <c r="AB4" i="19"/>
  <c r="AC4" i="19" s="1"/>
  <c r="AB49" i="19"/>
  <c r="AC49" i="19" s="1"/>
  <c r="AB65" i="19"/>
  <c r="AC65" i="19" s="1"/>
  <c r="S6" i="19"/>
  <c r="AD6" i="19" s="1"/>
  <c r="S69" i="19"/>
  <c r="AD69" i="19" s="1"/>
  <c r="AE63" i="19"/>
  <c r="S65" i="19"/>
  <c r="AD65" i="19" s="1"/>
  <c r="S4" i="19"/>
  <c r="AD4" i="19" s="1"/>
  <c r="S36" i="19"/>
  <c r="AD36" i="19" s="1"/>
  <c r="AE36" i="19"/>
  <c r="S63" i="19"/>
  <c r="AD63" i="19" s="1"/>
  <c r="S41" i="19"/>
  <c r="AD41" i="19" s="1"/>
  <c r="S49" i="19"/>
  <c r="AD49" i="19" s="1"/>
  <c r="AE41" i="19"/>
  <c r="S29" i="19"/>
  <c r="AD29" i="19" s="1"/>
  <c r="AE29" i="19"/>
  <c r="S11" i="19"/>
  <c r="AD11" i="19" s="1"/>
  <c r="AE6" i="19"/>
  <c r="AE4" i="19"/>
  <c r="AE69" i="19"/>
  <c r="AE65" i="19"/>
  <c r="AE58" i="19"/>
  <c r="S58" i="19"/>
  <c r="AD58" i="19" s="1"/>
  <c r="AE49" i="19"/>
  <c r="S18" i="19"/>
  <c r="AD18" i="19" s="1"/>
  <c r="D3" i="19"/>
  <c r="AG3" i="19" s="1"/>
  <c r="AE11" i="19"/>
  <c r="AE67" i="19"/>
  <c r="AE18" i="19"/>
  <c r="AB3" i="19" l="1"/>
  <c r="AC3" i="19" s="1"/>
  <c r="S3" i="19"/>
  <c r="AD3" i="19" s="1"/>
  <c r="AE3" i="19"/>
</calcChain>
</file>

<file path=xl/sharedStrings.xml><?xml version="1.0" encoding="utf-8"?>
<sst xmlns="http://schemas.openxmlformats.org/spreadsheetml/2006/main" count="325" uniqueCount="196">
  <si>
    <t>Mitgl.</t>
  </si>
  <si>
    <t>H</t>
  </si>
  <si>
    <t>DSkV</t>
  </si>
  <si>
    <t>01.</t>
  </si>
  <si>
    <t>BB</t>
  </si>
  <si>
    <t>02.</t>
  </si>
  <si>
    <t>SH</t>
  </si>
  <si>
    <t>03.</t>
  </si>
  <si>
    <t>NB</t>
  </si>
  <si>
    <t>04.</t>
  </si>
  <si>
    <t>NW</t>
  </si>
  <si>
    <t>05.</t>
  </si>
  <si>
    <t>W</t>
  </si>
  <si>
    <t>06.</t>
  </si>
  <si>
    <t>RS</t>
  </si>
  <si>
    <t>07.</t>
  </si>
  <si>
    <t>BW</t>
  </si>
  <si>
    <t>08.</t>
  </si>
  <si>
    <t>BY</t>
  </si>
  <si>
    <t>09.</t>
  </si>
  <si>
    <t>S</t>
  </si>
  <si>
    <t>10.</t>
  </si>
  <si>
    <t>T</t>
  </si>
  <si>
    <t>11.</t>
  </si>
  <si>
    <t>A</t>
  </si>
  <si>
    <t>12.</t>
  </si>
  <si>
    <t>MV</t>
  </si>
  <si>
    <t>14.</t>
  </si>
  <si>
    <t>LV.VG</t>
  </si>
  <si>
    <t>Ver</t>
  </si>
  <si>
    <t>Skfr.</t>
  </si>
  <si>
    <t>07.01</t>
  </si>
  <si>
    <t>07.04</t>
  </si>
  <si>
    <t>07.05</t>
  </si>
  <si>
    <t>07.06</t>
  </si>
  <si>
    <t>07.07</t>
  </si>
  <si>
    <t>07.08</t>
  </si>
  <si>
    <t>07.09</t>
  </si>
  <si>
    <t>08.80</t>
  </si>
  <si>
    <t>02.22</t>
  </si>
  <si>
    <t>08.81</t>
  </si>
  <si>
    <t>02.23</t>
  </si>
  <si>
    <t>02.24</t>
  </si>
  <si>
    <t>08.83</t>
  </si>
  <si>
    <t>08.85</t>
  </si>
  <si>
    <t>03.30</t>
  </si>
  <si>
    <t>08.86</t>
  </si>
  <si>
    <t>03.31</t>
  </si>
  <si>
    <t>08.87</t>
  </si>
  <si>
    <t>03.33</t>
  </si>
  <si>
    <t>08.88</t>
  </si>
  <si>
    <t>03.34</t>
  </si>
  <si>
    <t>08.89</t>
  </si>
  <si>
    <t>03.38</t>
  </si>
  <si>
    <t>09.01</t>
  </si>
  <si>
    <t>03.39</t>
  </si>
  <si>
    <t>09.02</t>
  </si>
  <si>
    <t>09.03</t>
  </si>
  <si>
    <t>04.11</t>
  </si>
  <si>
    <t>09.04</t>
  </si>
  <si>
    <t>04.40</t>
  </si>
  <si>
    <t>04.41</t>
  </si>
  <si>
    <t>04.42</t>
  </si>
  <si>
    <t>04.43</t>
  </si>
  <si>
    <t>04.44</t>
  </si>
  <si>
    <t>04.45</t>
  </si>
  <si>
    <t>11.01</t>
  </si>
  <si>
    <t>04.47</t>
  </si>
  <si>
    <t>04.48</t>
  </si>
  <si>
    <t>04.49</t>
  </si>
  <si>
    <t>05.50</t>
  </si>
  <si>
    <t>05.53</t>
  </si>
  <si>
    <t>05.54</t>
  </si>
  <si>
    <t>05.56</t>
  </si>
  <si>
    <t>05.57</t>
  </si>
  <si>
    <t>05.58</t>
  </si>
  <si>
    <t>06.65</t>
  </si>
  <si>
    <t>06.66</t>
  </si>
  <si>
    <t>06.67</t>
  </si>
  <si>
    <t>06.55</t>
  </si>
  <si>
    <t>02.21</t>
  </si>
  <si>
    <t>01.19</t>
  </si>
  <si>
    <t>12.12</t>
  </si>
  <si>
    <t>14.01</t>
  </si>
  <si>
    <t>14.02</t>
  </si>
  <si>
    <t>Herren</t>
  </si>
  <si>
    <t>unter 60 Jahre</t>
  </si>
  <si>
    <t>ab  60 Jahre</t>
  </si>
  <si>
    <t>Damen</t>
  </si>
  <si>
    <t>Junioren</t>
  </si>
  <si>
    <t>Jugend/Schüler</t>
  </si>
  <si>
    <t>m</t>
  </si>
  <si>
    <t>w</t>
  </si>
  <si>
    <t>Gesamt</t>
  </si>
  <si>
    <t>Junioren Jugend Schüler Gesamt</t>
  </si>
  <si>
    <t>davon Ehrenmit-glieder</t>
  </si>
  <si>
    <t>14.03</t>
  </si>
  <si>
    <t>14.04</t>
  </si>
  <si>
    <t>10.10</t>
  </si>
  <si>
    <t>Prozentualer Anteil Bezug Zeitschriften zu Mitgliedern</t>
  </si>
  <si>
    <t>21-20</t>
  </si>
  <si>
    <t>prozentualer Rückgang Mitglieder zum Vorjahr</t>
  </si>
  <si>
    <t>Mitglieder 2021</t>
  </si>
  <si>
    <t>Mitglieder 2020</t>
  </si>
  <si>
    <t>Vereine 2020</t>
  </si>
  <si>
    <t>Vereine 2021</t>
  </si>
  <si>
    <t>Ver-änderung Vereine</t>
  </si>
  <si>
    <t>Veränderungen zu 2020 und Anteil Zeitschrift an Mitgliederzahlen</t>
  </si>
  <si>
    <t xml:space="preserve">Absoluter Rückgang Mitglieder zum Vorjahr </t>
  </si>
  <si>
    <t>Mannschaften / 
je 100 Mitgl.</t>
  </si>
  <si>
    <t>Mannschaften / 
je Verein</t>
  </si>
  <si>
    <t>Mannschaftsname</t>
  </si>
  <si>
    <t>Vereinsnummer</t>
  </si>
  <si>
    <t>Vereinsname</t>
  </si>
  <si>
    <t>Qualifikationsverzicht</t>
  </si>
  <si>
    <t>1. DSSV Rottweil</t>
  </si>
  <si>
    <t>07.01.066</t>
  </si>
  <si>
    <t>1. SC Dieburg I</t>
  </si>
  <si>
    <t>14.04.012</t>
  </si>
  <si>
    <t>1. SC Dieburg</t>
  </si>
  <si>
    <t>1. SC Dieburg II</t>
  </si>
  <si>
    <t>1. SC Dieburg III</t>
  </si>
  <si>
    <t>1. SV Hillesheim</t>
  </si>
  <si>
    <t>06.55.021</t>
  </si>
  <si>
    <t>1. Skatverein Hohenmölsen e.V.</t>
  </si>
  <si>
    <t>11.01.017</t>
  </si>
  <si>
    <t>Christinas Wenzel Floh-Seligenthal</t>
  </si>
  <si>
    <t>10.10.042</t>
  </si>
  <si>
    <t>Dreilinden Osterode</t>
  </si>
  <si>
    <t>03.33.020</t>
  </si>
  <si>
    <t>Elbe Asse</t>
  </si>
  <si>
    <t>02.21.080</t>
  </si>
  <si>
    <t>Grand Hand Coesfeld</t>
  </si>
  <si>
    <t>04.44.007</t>
  </si>
  <si>
    <t>Haseldorf</t>
  </si>
  <si>
    <t>02.22.055</t>
  </si>
  <si>
    <t>Haseldorfer Skatverein</t>
  </si>
  <si>
    <t>JSG Würselen</t>
  </si>
  <si>
    <t>05.50.013</t>
  </si>
  <si>
    <t>Moorriemer Jungs</t>
  </si>
  <si>
    <t>03.39.070</t>
  </si>
  <si>
    <t>Nichtraucher Düren</t>
  </si>
  <si>
    <t>05.50.047</t>
  </si>
  <si>
    <t>Null Hand Greven</t>
  </si>
  <si>
    <t>04.44.029</t>
  </si>
  <si>
    <t>Null-Hebe Jena</t>
  </si>
  <si>
    <t>10.10.041</t>
  </si>
  <si>
    <t>Studentischer SV Null-Hebe Jena</t>
  </si>
  <si>
    <t>SC 85 Braunschweig e.V.</t>
  </si>
  <si>
    <t>03.33.002</t>
  </si>
  <si>
    <t>SC Blau-Weiß 83</t>
  </si>
  <si>
    <t>01.19.029</t>
  </si>
  <si>
    <t>SV Skat-Deluxe Jena 2020</t>
  </si>
  <si>
    <t>10.10.045</t>
  </si>
  <si>
    <t>Skat-Deluxe Jena 2020</t>
  </si>
  <si>
    <t>Seerose Radolfzell I</t>
  </si>
  <si>
    <t>07.07.029</t>
  </si>
  <si>
    <t>Seerose Radolfzell</t>
  </si>
  <si>
    <t>Seerose Radolfzell II</t>
  </si>
  <si>
    <t>Skat-Freunde Rems-Murr I</t>
  </si>
  <si>
    <t>07.01.039</t>
  </si>
  <si>
    <t>Skat-Freunde Rems-Murr 1986 Backnang e.V.</t>
  </si>
  <si>
    <t>Skat-Freunde Rems-Murr II</t>
  </si>
  <si>
    <t>Skatclub Greiz</t>
  </si>
  <si>
    <t>10.10.014</t>
  </si>
  <si>
    <t>Skatclub Gäuboden Straubing I</t>
  </si>
  <si>
    <t>08.83.007</t>
  </si>
  <si>
    <t>Skatclub Gäuboden Straubing</t>
  </si>
  <si>
    <t>Skatclub Gäuboden Straubing II</t>
  </si>
  <si>
    <t>Skatfreunde Gräfenhausen</t>
  </si>
  <si>
    <t>14.04.011</t>
  </si>
  <si>
    <t>Skatfreunde Schortens / Wilhelmshaven</t>
  </si>
  <si>
    <t>03.39.062</t>
  </si>
  <si>
    <t>Skatfreunde Stennweiler I</t>
  </si>
  <si>
    <t>06.66.028</t>
  </si>
  <si>
    <t>Skatfreunde Stennweiler</t>
  </si>
  <si>
    <t>Skatfreunde Stennweiler II</t>
  </si>
  <si>
    <t>Skatfreunde Stennweiler III</t>
  </si>
  <si>
    <t>Skatfreunde Stennweiler IV</t>
  </si>
  <si>
    <t>Skatfreunde im Bramfelder SV</t>
  </si>
  <si>
    <t>02.21.026</t>
  </si>
  <si>
    <t>Skatgemeinschaft 2020 Walsrode</t>
  </si>
  <si>
    <t>03.30.010</t>
  </si>
  <si>
    <t>Stadtwerke Bonn</t>
  </si>
  <si>
    <t>05.53.007</t>
  </si>
  <si>
    <t>Skatklub BSG Stadtwerke Bonn</t>
  </si>
  <si>
    <t>Thermalbad-Buben Bad Emstal</t>
  </si>
  <si>
    <t>14.01.024</t>
  </si>
  <si>
    <t>TuS Davenstedt</t>
  </si>
  <si>
    <t>03.30.019</t>
  </si>
  <si>
    <t>Vier Tore Buben Neubrandenburg</t>
  </si>
  <si>
    <t>12.12.020</t>
  </si>
  <si>
    <t>Wahnbek 86</t>
  </si>
  <si>
    <t>03.39.012</t>
  </si>
  <si>
    <t>VG</t>
  </si>
  <si>
    <t>Mannschaften
 OBL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</si>
</sst>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6"/>
      <name val="Times New Roman"/>
      <family val="1"/>
    </font>
    <font>
      <b/>
      <sz val="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gray0625"/>
    </fill>
    <fill>
      <patternFill patternType="solid">
        <fgColor indexed="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C0C0"/>
      </patternFill>
    </fill>
  </fills>
  <borders count="72">
    <border>
      <left/>
      <right/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2" fillId="0" borderId="0"/>
  </cellStyleXfs>
  <cellXfs count="184">
    <xf numFmtId="0" fontId="0" fillId="0" borderId="0" xfId="0"/>
    <xf numFmtId="0" fontId="1" fillId="0" borderId="0" xfId="2"/>
    <xf numFmtId="0" fontId="5" fillId="0" borderId="0" xfId="2" applyFont="1"/>
    <xf numFmtId="49" fontId="4" fillId="0" borderId="0" xfId="2" applyNumberFormat="1" applyFont="1"/>
    <xf numFmtId="0" fontId="4" fillId="0" borderId="0" xfId="2" applyFont="1" applyAlignment="1">
      <alignment horizontal="right"/>
    </xf>
    <xf numFmtId="0" fontId="6" fillId="0" borderId="0" xfId="2" applyFont="1" applyAlignment="1">
      <alignment horizontal="right"/>
    </xf>
    <xf numFmtId="0" fontId="6" fillId="0" borderId="0" xfId="2" applyFont="1"/>
    <xf numFmtId="1" fontId="3" fillId="0" borderId="0" xfId="2" applyNumberFormat="1" applyFont="1"/>
    <xf numFmtId="0" fontId="4" fillId="0" borderId="1" xfId="2" applyFont="1" applyBorder="1" applyAlignment="1">
      <alignment horizontal="right"/>
    </xf>
    <xf numFmtId="0" fontId="4" fillId="0" borderId="3" xfId="2" applyFont="1" applyBorder="1" applyAlignment="1">
      <alignment horizontal="right"/>
    </xf>
    <xf numFmtId="0" fontId="4" fillId="0" borderId="5" xfId="2" applyFont="1" applyBorder="1" applyAlignment="1">
      <alignment horizontal="right"/>
    </xf>
    <xf numFmtId="0" fontId="4" fillId="0" borderId="7" xfId="2" applyFont="1" applyBorder="1" applyAlignment="1">
      <alignment horizontal="right"/>
    </xf>
    <xf numFmtId="0" fontId="4" fillId="0" borderId="17" xfId="2" applyFont="1" applyBorder="1" applyAlignment="1">
      <alignment horizontal="right"/>
    </xf>
    <xf numFmtId="49" fontId="4" fillId="0" borderId="24" xfId="2" applyNumberFormat="1" applyFont="1" applyBorder="1"/>
    <xf numFmtId="49" fontId="4" fillId="0" borderId="25" xfId="2" applyNumberFormat="1" applyFont="1" applyBorder="1"/>
    <xf numFmtId="49" fontId="4" fillId="0" borderId="26" xfId="2" applyNumberFormat="1" applyFont="1" applyBorder="1"/>
    <xf numFmtId="49" fontId="4" fillId="0" borderId="27" xfId="2" applyNumberFormat="1" applyFont="1" applyBorder="1"/>
    <xf numFmtId="49" fontId="4" fillId="0" borderId="28" xfId="2" applyNumberFormat="1" applyFont="1" applyBorder="1"/>
    <xf numFmtId="0" fontId="3" fillId="3" borderId="9" xfId="0" applyFont="1" applyFill="1" applyBorder="1"/>
    <xf numFmtId="0" fontId="3" fillId="3" borderId="14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3" borderId="16" xfId="0" applyFont="1" applyFill="1" applyBorder="1"/>
    <xf numFmtId="0" fontId="3" fillId="3" borderId="12" xfId="0" applyFont="1" applyFill="1" applyBorder="1"/>
    <xf numFmtId="0" fontId="3" fillId="3" borderId="13" xfId="0" applyFont="1" applyFill="1" applyBorder="1"/>
    <xf numFmtId="0" fontId="3" fillId="3" borderId="15" xfId="0" applyFont="1" applyFill="1" applyBorder="1"/>
    <xf numFmtId="0" fontId="6" fillId="3" borderId="19" xfId="0" applyFont="1" applyFill="1" applyBorder="1"/>
    <xf numFmtId="0" fontId="6" fillId="3" borderId="20" xfId="0" applyFont="1" applyFill="1" applyBorder="1"/>
    <xf numFmtId="0" fontId="3" fillId="3" borderId="33" xfId="0" applyFont="1" applyFill="1" applyBorder="1"/>
    <xf numFmtId="0" fontId="3" fillId="3" borderId="34" xfId="0" applyFont="1" applyFill="1" applyBorder="1"/>
    <xf numFmtId="0" fontId="3" fillId="3" borderId="32" xfId="0" applyFont="1" applyFill="1" applyBorder="1"/>
    <xf numFmtId="0" fontId="3" fillId="3" borderId="35" xfId="0" applyFont="1" applyFill="1" applyBorder="1"/>
    <xf numFmtId="0" fontId="6" fillId="3" borderId="36" xfId="0" applyFont="1" applyFill="1" applyBorder="1"/>
    <xf numFmtId="49" fontId="2" fillId="0" borderId="39" xfId="2" applyNumberFormat="1" applyFont="1" applyBorder="1" applyAlignment="1">
      <alignment horizontal="center"/>
    </xf>
    <xf numFmtId="49" fontId="2" fillId="0" borderId="39" xfId="2" applyNumberFormat="1" applyFont="1" applyBorder="1" applyAlignment="1">
      <alignment horizontal="center" wrapText="1"/>
    </xf>
    <xf numFmtId="49" fontId="2" fillId="0" borderId="38" xfId="2" applyNumberFormat="1" applyFont="1" applyBorder="1" applyAlignment="1">
      <alignment horizontal="center"/>
    </xf>
    <xf numFmtId="49" fontId="2" fillId="0" borderId="37" xfId="2" applyNumberFormat="1" applyFont="1" applyBorder="1" applyAlignment="1">
      <alignment horizontal="center"/>
    </xf>
    <xf numFmtId="49" fontId="7" fillId="0" borderId="46" xfId="2" applyNumberFormat="1" applyFont="1" applyBorder="1" applyAlignment="1">
      <alignment horizontal="center" wrapText="1"/>
    </xf>
    <xf numFmtId="49" fontId="7" fillId="0" borderId="47" xfId="2" applyNumberFormat="1" applyFont="1" applyBorder="1" applyAlignment="1">
      <alignment horizontal="center" wrapText="1"/>
    </xf>
    <xf numFmtId="49" fontId="7" fillId="0" borderId="48" xfId="2" applyNumberFormat="1" applyFont="1" applyBorder="1" applyAlignment="1">
      <alignment horizontal="center" wrapText="1"/>
    </xf>
    <xf numFmtId="49" fontId="7" fillId="0" borderId="50" xfId="2" applyNumberFormat="1" applyFont="1" applyBorder="1" applyAlignment="1">
      <alignment horizontal="center" wrapText="1"/>
    </xf>
    <xf numFmtId="0" fontId="3" fillId="3" borderId="36" xfId="0" applyFont="1" applyFill="1" applyBorder="1"/>
    <xf numFmtId="49" fontId="4" fillId="0" borderId="52" xfId="2" applyNumberFormat="1" applyFont="1" applyBorder="1"/>
    <xf numFmtId="49" fontId="4" fillId="0" borderId="54" xfId="2" applyNumberFormat="1" applyFont="1" applyBorder="1" applyAlignment="1">
      <alignment horizontal="left"/>
    </xf>
    <xf numFmtId="0" fontId="4" fillId="0" borderId="56" xfId="2" applyFont="1" applyBorder="1"/>
    <xf numFmtId="0" fontId="4" fillId="0" borderId="42" xfId="2" applyFont="1" applyBorder="1" applyAlignment="1">
      <alignment horizontal="right"/>
    </xf>
    <xf numFmtId="0" fontId="4" fillId="0" borderId="43" xfId="2" applyFont="1" applyBorder="1" applyAlignment="1">
      <alignment horizontal="right"/>
    </xf>
    <xf numFmtId="0" fontId="4" fillId="0" borderId="44" xfId="2" applyFont="1" applyBorder="1" applyAlignment="1">
      <alignment horizontal="right"/>
    </xf>
    <xf numFmtId="0" fontId="4" fillId="0" borderId="45" xfId="2" applyFont="1" applyBorder="1" applyAlignment="1">
      <alignment horizontal="right"/>
    </xf>
    <xf numFmtId="0" fontId="4" fillId="0" borderId="51" xfId="2" applyFont="1" applyBorder="1"/>
    <xf numFmtId="0" fontId="3" fillId="3" borderId="58" xfId="0" applyFont="1" applyFill="1" applyBorder="1"/>
    <xf numFmtId="0" fontId="3" fillId="3" borderId="59" xfId="0" applyFont="1" applyFill="1" applyBorder="1"/>
    <xf numFmtId="0" fontId="3" fillId="3" borderId="60" xfId="0" applyFont="1" applyFill="1" applyBorder="1"/>
    <xf numFmtId="0" fontId="3" fillId="3" borderId="61" xfId="0" applyFont="1" applyFill="1" applyBorder="1"/>
    <xf numFmtId="0" fontId="4" fillId="0" borderId="62" xfId="2" applyFont="1" applyBorder="1" applyAlignment="1">
      <alignment horizontal="right"/>
    </xf>
    <xf numFmtId="0" fontId="6" fillId="0" borderId="58" xfId="2" applyFont="1" applyBorder="1"/>
    <xf numFmtId="0" fontId="6" fillId="0" borderId="59" xfId="2" applyFont="1" applyBorder="1"/>
    <xf numFmtId="0" fontId="6" fillId="0" borderId="60" xfId="2" applyFont="1" applyBorder="1"/>
    <xf numFmtId="0" fontId="6" fillId="0" borderId="61" xfId="2" applyFont="1" applyBorder="1"/>
    <xf numFmtId="0" fontId="4" fillId="0" borderId="63" xfId="2" applyFont="1" applyBorder="1"/>
    <xf numFmtId="0" fontId="4" fillId="0" borderId="57" xfId="2" applyFont="1" applyBorder="1"/>
    <xf numFmtId="0" fontId="3" fillId="3" borderId="4" xfId="0" applyFont="1" applyFill="1" applyBorder="1"/>
    <xf numFmtId="0" fontId="3" fillId="3" borderId="18" xfId="0" applyFont="1" applyFill="1" applyBorder="1"/>
    <xf numFmtId="0" fontId="3" fillId="3" borderId="2" xfId="0" applyFont="1" applyFill="1" applyBorder="1"/>
    <xf numFmtId="0" fontId="3" fillId="3" borderId="6" xfId="0" applyFont="1" applyFill="1" applyBorder="1"/>
    <xf numFmtId="0" fontId="3" fillId="3" borderId="8" xfId="0" applyFont="1" applyFill="1" applyBorder="1"/>
    <xf numFmtId="0" fontId="4" fillId="0" borderId="55" xfId="2" applyFont="1" applyBorder="1"/>
    <xf numFmtId="0" fontId="4" fillId="0" borderId="64" xfId="2" applyFont="1" applyBorder="1" applyAlignment="1">
      <alignment horizontal="right"/>
    </xf>
    <xf numFmtId="0" fontId="6" fillId="3" borderId="53" xfId="0" applyFont="1" applyFill="1" applyBorder="1"/>
    <xf numFmtId="0" fontId="6" fillId="0" borderId="53" xfId="2" applyFont="1" applyBorder="1"/>
    <xf numFmtId="0" fontId="6" fillId="3" borderId="18" xfId="0" applyFont="1" applyFill="1" applyBorder="1"/>
    <xf numFmtId="49" fontId="4" fillId="2" borderId="54" xfId="2" applyNumberFormat="1" applyFont="1" applyFill="1" applyBorder="1"/>
    <xf numFmtId="0" fontId="4" fillId="2" borderId="62" xfId="2" applyFont="1" applyFill="1" applyBorder="1" applyAlignment="1">
      <alignment horizontal="left"/>
    </xf>
    <xf numFmtId="0" fontId="4" fillId="2" borderId="51" xfId="2" applyFont="1" applyFill="1" applyBorder="1"/>
    <xf numFmtId="0" fontId="4" fillId="2" borderId="63" xfId="2" applyFont="1" applyFill="1" applyBorder="1"/>
    <xf numFmtId="0" fontId="4" fillId="2" borderId="56" xfId="2" applyFont="1" applyFill="1" applyBorder="1"/>
    <xf numFmtId="0" fontId="4" fillId="2" borderId="57" xfId="2" applyFont="1" applyFill="1" applyBorder="1"/>
    <xf numFmtId="0" fontId="4" fillId="2" borderId="55" xfId="2" applyFont="1" applyFill="1" applyBorder="1"/>
    <xf numFmtId="0" fontId="3" fillId="3" borderId="53" xfId="0" applyFont="1" applyFill="1" applyBorder="1" applyAlignment="1">
      <alignment horizontal="right"/>
    </xf>
    <xf numFmtId="0" fontId="3" fillId="3" borderId="19" xfId="0" applyFont="1" applyFill="1" applyBorder="1" applyAlignment="1">
      <alignment horizontal="right"/>
    </xf>
    <xf numFmtId="0" fontId="3" fillId="3" borderId="36" xfId="0" applyFont="1" applyFill="1" applyBorder="1" applyAlignment="1">
      <alignment horizontal="right"/>
    </xf>
    <xf numFmtId="0" fontId="3" fillId="3" borderId="20" xfId="0" applyFont="1" applyFill="1" applyBorder="1" applyAlignment="1">
      <alignment horizontal="right"/>
    </xf>
    <xf numFmtId="0" fontId="3" fillId="3" borderId="18" xfId="0" applyFont="1" applyFill="1" applyBorder="1" applyAlignment="1">
      <alignment horizontal="right"/>
    </xf>
    <xf numFmtId="0" fontId="6" fillId="2" borderId="51" xfId="2" applyFont="1" applyFill="1" applyBorder="1"/>
    <xf numFmtId="0" fontId="3" fillId="3" borderId="53" xfId="0" applyFont="1" applyFill="1" applyBorder="1"/>
    <xf numFmtId="0" fontId="3" fillId="3" borderId="19" xfId="0" applyFont="1" applyFill="1" applyBorder="1"/>
    <xf numFmtId="0" fontId="3" fillId="3" borderId="20" xfId="0" applyFont="1" applyFill="1" applyBorder="1"/>
    <xf numFmtId="0" fontId="3" fillId="3" borderId="65" xfId="0" applyFont="1" applyFill="1" applyBorder="1"/>
    <xf numFmtId="0" fontId="6" fillId="0" borderId="65" xfId="2" applyFont="1" applyBorder="1"/>
    <xf numFmtId="0" fontId="3" fillId="3" borderId="66" xfId="0" applyFont="1" applyFill="1" applyBorder="1"/>
    <xf numFmtId="0" fontId="3" fillId="3" borderId="67" xfId="0" applyFont="1" applyFill="1" applyBorder="1"/>
    <xf numFmtId="0" fontId="3" fillId="3" borderId="69" xfId="0" applyFont="1" applyFill="1" applyBorder="1"/>
    <xf numFmtId="0" fontId="3" fillId="3" borderId="70" xfId="0" applyFont="1" applyFill="1" applyBorder="1"/>
    <xf numFmtId="0" fontId="6" fillId="0" borderId="41" xfId="2" applyFont="1" applyBorder="1"/>
    <xf numFmtId="0" fontId="4" fillId="0" borderId="68" xfId="2" applyFont="1" applyBorder="1" applyAlignment="1">
      <alignment horizontal="right"/>
    </xf>
    <xf numFmtId="0" fontId="3" fillId="4" borderId="17" xfId="0" applyFont="1" applyFill="1" applyBorder="1" applyAlignment="1">
      <alignment horizontal="right"/>
    </xf>
    <xf numFmtId="0" fontId="3" fillId="4" borderId="3" xfId="0" applyFont="1" applyFill="1" applyBorder="1"/>
    <xf numFmtId="0" fontId="3" fillId="4" borderId="17" xfId="0" applyFont="1" applyFill="1" applyBorder="1"/>
    <xf numFmtId="0" fontId="3" fillId="4" borderId="18" xfId="0" applyFont="1" applyFill="1" applyBorder="1" applyAlignment="1">
      <alignment horizontal="right"/>
    </xf>
    <xf numFmtId="0" fontId="3" fillId="4" borderId="4" xfId="0" applyFont="1" applyFill="1" applyBorder="1"/>
    <xf numFmtId="0" fontId="3" fillId="4" borderId="18" xfId="0" applyFont="1" applyFill="1" applyBorder="1"/>
    <xf numFmtId="0" fontId="3" fillId="4" borderId="0" xfId="0" applyFont="1" applyFill="1" applyAlignment="1">
      <alignment horizontal="right"/>
    </xf>
    <xf numFmtId="0" fontId="3" fillId="4" borderId="42" xfId="0" applyFont="1" applyFill="1" applyBorder="1"/>
    <xf numFmtId="0" fontId="3" fillId="4" borderId="0" xfId="0" applyFont="1" applyFill="1"/>
    <xf numFmtId="0" fontId="3" fillId="4" borderId="68" xfId="0" applyFont="1" applyFill="1" applyBorder="1"/>
    <xf numFmtId="0" fontId="3" fillId="4" borderId="37" xfId="0" applyFont="1" applyFill="1" applyBorder="1"/>
    <xf numFmtId="0" fontId="3" fillId="4" borderId="70" xfId="0" applyFont="1" applyFill="1" applyBorder="1"/>
    <xf numFmtId="0" fontId="3" fillId="4" borderId="38" xfId="0" applyFont="1" applyFill="1" applyBorder="1"/>
    <xf numFmtId="0" fontId="3" fillId="4" borderId="64" xfId="0" applyFont="1" applyFill="1" applyBorder="1"/>
    <xf numFmtId="0" fontId="3" fillId="4" borderId="49" xfId="0" applyFont="1" applyFill="1" applyBorder="1"/>
    <xf numFmtId="0" fontId="6" fillId="4" borderId="18" xfId="0" applyFont="1" applyFill="1" applyBorder="1"/>
    <xf numFmtId="0" fontId="6" fillId="4" borderId="17" xfId="0" applyFont="1" applyFill="1" applyBorder="1"/>
    <xf numFmtId="0" fontId="3" fillId="4" borderId="0" xfId="0" applyFont="1" applyFill="1" applyBorder="1"/>
    <xf numFmtId="0" fontId="4" fillId="0" borderId="0" xfId="2" applyFont="1" applyBorder="1" applyAlignment="1">
      <alignment horizontal="right"/>
    </xf>
    <xf numFmtId="0" fontId="6" fillId="0" borderId="51" xfId="2" applyFont="1" applyBorder="1"/>
    <xf numFmtId="0" fontId="9" fillId="0" borderId="0" xfId="0" applyFont="1" applyFill="1"/>
    <xf numFmtId="49" fontId="4" fillId="0" borderId="0" xfId="2" applyNumberFormat="1" applyFont="1" applyBorder="1" applyAlignment="1">
      <alignment horizontal="center" vertical="center"/>
    </xf>
    <xf numFmtId="0" fontId="6" fillId="0" borderId="0" xfId="2" applyFont="1" applyBorder="1"/>
    <xf numFmtId="10" fontId="4" fillId="2" borderId="51" xfId="1" applyNumberFormat="1" applyFont="1" applyFill="1" applyBorder="1"/>
    <xf numFmtId="10" fontId="3" fillId="3" borderId="53" xfId="1" applyNumberFormat="1" applyFont="1" applyFill="1" applyBorder="1" applyAlignment="1">
      <alignment horizontal="right"/>
    </xf>
    <xf numFmtId="10" fontId="3" fillId="3" borderId="58" xfId="1" applyNumberFormat="1" applyFont="1" applyFill="1" applyBorder="1"/>
    <xf numFmtId="10" fontId="3" fillId="3" borderId="59" xfId="1" applyNumberFormat="1" applyFont="1" applyFill="1" applyBorder="1"/>
    <xf numFmtId="10" fontId="3" fillId="3" borderId="60" xfId="1" applyNumberFormat="1" applyFont="1" applyFill="1" applyBorder="1"/>
    <xf numFmtId="10" fontId="3" fillId="3" borderId="65" xfId="1" applyNumberFormat="1" applyFont="1" applyFill="1" applyBorder="1"/>
    <xf numFmtId="10" fontId="3" fillId="3" borderId="61" xfId="1" applyNumberFormat="1" applyFont="1" applyFill="1" applyBorder="1"/>
    <xf numFmtId="10" fontId="6" fillId="3" borderId="53" xfId="1" applyNumberFormat="1" applyFont="1" applyFill="1" applyBorder="1"/>
    <xf numFmtId="10" fontId="3" fillId="3" borderId="53" xfId="1" applyNumberFormat="1" applyFont="1" applyFill="1" applyBorder="1"/>
    <xf numFmtId="0" fontId="4" fillId="2" borderId="41" xfId="2" applyFont="1" applyFill="1" applyBorder="1"/>
    <xf numFmtId="10" fontId="4" fillId="2" borderId="41" xfId="1" applyNumberFormat="1" applyFont="1" applyFill="1" applyBorder="1"/>
    <xf numFmtId="0" fontId="4" fillId="0" borderId="41" xfId="2" applyFont="1" applyBorder="1"/>
    <xf numFmtId="10" fontId="4" fillId="0" borderId="41" xfId="1" applyNumberFormat="1" applyFont="1" applyBorder="1"/>
    <xf numFmtId="49" fontId="4" fillId="0" borderId="49" xfId="2" applyNumberFormat="1" applyFont="1" applyBorder="1" applyAlignment="1">
      <alignment vertical="center"/>
    </xf>
    <xf numFmtId="49" fontId="4" fillId="0" borderId="28" xfId="2" applyNumberFormat="1" applyFont="1" applyBorder="1" applyAlignment="1">
      <alignment vertical="center"/>
    </xf>
    <xf numFmtId="49" fontId="4" fillId="0" borderId="71" xfId="2" applyNumberFormat="1" applyFont="1" applyBorder="1" applyAlignment="1">
      <alignment horizontal="center" vertical="center" wrapText="1"/>
    </xf>
    <xf numFmtId="0" fontId="10" fillId="0" borderId="71" xfId="2" applyFont="1" applyFill="1" applyBorder="1" applyAlignment="1">
      <alignment horizontal="center" vertical="center" wrapText="1"/>
    </xf>
    <xf numFmtId="0" fontId="5" fillId="0" borderId="71" xfId="2" applyFont="1" applyBorder="1" applyAlignment="1">
      <alignment horizontal="center" vertical="center" wrapText="1"/>
    </xf>
    <xf numFmtId="10" fontId="3" fillId="5" borderId="53" xfId="1" applyNumberFormat="1" applyFont="1" applyFill="1" applyBorder="1" applyAlignment="1">
      <alignment horizontal="right"/>
    </xf>
    <xf numFmtId="10" fontId="3" fillId="5" borderId="58" xfId="1" applyNumberFormat="1" applyFont="1" applyFill="1" applyBorder="1"/>
    <xf numFmtId="10" fontId="3" fillId="5" borderId="59" xfId="1" applyNumberFormat="1" applyFont="1" applyFill="1" applyBorder="1"/>
    <xf numFmtId="10" fontId="3" fillId="5" borderId="60" xfId="1" applyNumberFormat="1" applyFont="1" applyFill="1" applyBorder="1"/>
    <xf numFmtId="10" fontId="3" fillId="5" borderId="65" xfId="1" applyNumberFormat="1" applyFont="1" applyFill="1" applyBorder="1"/>
    <xf numFmtId="10" fontId="3" fillId="5" borderId="61" xfId="1" applyNumberFormat="1" applyFont="1" applyFill="1" applyBorder="1"/>
    <xf numFmtId="10" fontId="6" fillId="5" borderId="53" xfId="1" applyNumberFormat="1" applyFont="1" applyFill="1" applyBorder="1"/>
    <xf numFmtId="10" fontId="3" fillId="5" borderId="53" xfId="1" applyNumberFormat="1" applyFont="1" applyFill="1" applyBorder="1"/>
    <xf numFmtId="10" fontId="4" fillId="5" borderId="41" xfId="1" applyNumberFormat="1" applyFont="1" applyFill="1" applyBorder="1"/>
    <xf numFmtId="0" fontId="11" fillId="0" borderId="71" xfId="2" applyFont="1" applyFill="1" applyBorder="1" applyAlignment="1">
      <alignment horizontal="center" vertical="center" wrapText="1"/>
    </xf>
    <xf numFmtId="0" fontId="11" fillId="0" borderId="71" xfId="2" applyFont="1" applyBorder="1" applyAlignment="1">
      <alignment horizontal="center" wrapText="1"/>
    </xf>
    <xf numFmtId="0" fontId="12" fillId="0" borderId="0" xfId="3"/>
    <xf numFmtId="0" fontId="13" fillId="6" borderId="0" xfId="3" applyFont="1" applyFill="1" applyAlignment="1">
      <alignment horizontal="center"/>
    </xf>
    <xf numFmtId="0" fontId="14" fillId="0" borderId="0" xfId="3" applyFont="1"/>
    <xf numFmtId="2" fontId="4" fillId="0" borderId="51" xfId="2" applyNumberFormat="1" applyFont="1" applyBorder="1"/>
    <xf numFmtId="2" fontId="4" fillId="2" borderId="51" xfId="2" applyNumberFormat="1" applyFont="1" applyFill="1" applyBorder="1"/>
    <xf numFmtId="2" fontId="6" fillId="0" borderId="53" xfId="2" applyNumberFormat="1" applyFont="1" applyBorder="1"/>
    <xf numFmtId="2" fontId="3" fillId="3" borderId="53" xfId="0" applyNumberFormat="1" applyFont="1" applyFill="1" applyBorder="1" applyAlignment="1">
      <alignment horizontal="right"/>
    </xf>
    <xf numFmtId="2" fontId="6" fillId="0" borderId="58" xfId="2" applyNumberFormat="1" applyFont="1" applyBorder="1"/>
    <xf numFmtId="2" fontId="3" fillId="3" borderId="58" xfId="0" applyNumberFormat="1" applyFont="1" applyFill="1" applyBorder="1"/>
    <xf numFmtId="2" fontId="3" fillId="3" borderId="59" xfId="0" applyNumberFormat="1" applyFont="1" applyFill="1" applyBorder="1"/>
    <xf numFmtId="2" fontId="3" fillId="3" borderId="60" xfId="0" applyNumberFormat="1" applyFont="1" applyFill="1" applyBorder="1"/>
    <xf numFmtId="2" fontId="6" fillId="0" borderId="65" xfId="2" applyNumberFormat="1" applyFont="1" applyBorder="1"/>
    <xf numFmtId="2" fontId="3" fillId="3" borderId="65" xfId="0" applyNumberFormat="1" applyFont="1" applyFill="1" applyBorder="1"/>
    <xf numFmtId="2" fontId="6" fillId="0" borderId="41" xfId="2" applyNumberFormat="1" applyFont="1" applyBorder="1"/>
    <xf numFmtId="2" fontId="3" fillId="3" borderId="61" xfId="0" applyNumberFormat="1" applyFont="1" applyFill="1" applyBorder="1"/>
    <xf numFmtId="2" fontId="6" fillId="0" borderId="51" xfId="2" applyNumberFormat="1" applyFont="1" applyBorder="1"/>
    <xf numFmtId="2" fontId="6" fillId="3" borderId="53" xfId="0" applyNumberFormat="1" applyFont="1" applyFill="1" applyBorder="1"/>
    <xf numFmtId="2" fontId="3" fillId="3" borderId="53" xfId="0" applyNumberFormat="1" applyFont="1" applyFill="1" applyBorder="1"/>
    <xf numFmtId="0" fontId="5" fillId="0" borderId="21" xfId="2" applyFont="1" applyBorder="1" applyAlignment="1">
      <alignment horizontal="center"/>
    </xf>
    <xf numFmtId="0" fontId="5" fillId="0" borderId="22" xfId="2" applyFont="1" applyBorder="1" applyAlignment="1">
      <alignment horizontal="center"/>
    </xf>
    <xf numFmtId="0" fontId="8" fillId="0" borderId="31" xfId="2" applyFont="1" applyBorder="1" applyAlignment="1">
      <alignment horizontal="center" vertical="center" wrapText="1"/>
    </xf>
    <xf numFmtId="0" fontId="8" fillId="0" borderId="49" xfId="2" applyFont="1" applyBorder="1" applyAlignment="1">
      <alignment horizontal="center" vertical="center" wrapText="1"/>
    </xf>
    <xf numFmtId="49" fontId="2" fillId="0" borderId="40" xfId="2" applyNumberFormat="1" applyFont="1" applyBorder="1" applyAlignment="1">
      <alignment horizontal="center" vertical="center"/>
    </xf>
    <xf numFmtId="49" fontId="2" fillId="0" borderId="41" xfId="2" applyNumberFormat="1" applyFont="1" applyBorder="1" applyAlignment="1">
      <alignment horizontal="center" vertical="center"/>
    </xf>
    <xf numFmtId="49" fontId="4" fillId="0" borderId="40" xfId="2" applyNumberFormat="1" applyFont="1" applyBorder="1" applyAlignment="1">
      <alignment horizontal="center" vertical="center"/>
    </xf>
    <xf numFmtId="49" fontId="4" fillId="0" borderId="41" xfId="2" applyNumberFormat="1" applyFont="1" applyBorder="1" applyAlignment="1">
      <alignment horizontal="center" vertical="center"/>
    </xf>
    <xf numFmtId="49" fontId="4" fillId="0" borderId="54" xfId="2" applyNumberFormat="1" applyFont="1" applyBorder="1" applyAlignment="1">
      <alignment horizontal="center"/>
    </xf>
    <xf numFmtId="49" fontId="4" fillId="0" borderId="55" xfId="2" applyNumberFormat="1" applyFont="1" applyBorder="1" applyAlignment="1">
      <alignment horizontal="center"/>
    </xf>
    <xf numFmtId="49" fontId="4" fillId="0" borderId="62" xfId="2" applyNumberFormat="1" applyFont="1" applyBorder="1" applyAlignment="1">
      <alignment horizontal="center"/>
    </xf>
    <xf numFmtId="0" fontId="4" fillId="0" borderId="40" xfId="2" applyFont="1" applyBorder="1" applyAlignment="1">
      <alignment horizontal="center" vertical="center" wrapText="1"/>
    </xf>
    <xf numFmtId="0" fontId="4" fillId="0" borderId="41" xfId="2" applyFont="1" applyBorder="1" applyAlignment="1">
      <alignment horizontal="center" vertical="center"/>
    </xf>
    <xf numFmtId="49" fontId="4" fillId="0" borderId="29" xfId="2" applyNumberFormat="1" applyFont="1" applyBorder="1" applyAlignment="1">
      <alignment horizontal="center" vertical="center"/>
    </xf>
    <xf numFmtId="49" fontId="4" fillId="0" borderId="30" xfId="2" applyNumberFormat="1" applyFont="1" applyBorder="1" applyAlignment="1">
      <alignment horizontal="center" vertical="center"/>
    </xf>
    <xf numFmtId="49" fontId="4" fillId="0" borderId="39" xfId="2" applyNumberFormat="1" applyFont="1" applyBorder="1" applyAlignment="1">
      <alignment horizontal="center" vertical="center"/>
    </xf>
    <xf numFmtId="49" fontId="4" fillId="0" borderId="37" xfId="2" applyNumberFormat="1" applyFont="1" applyBorder="1" applyAlignment="1">
      <alignment horizontal="center" vertical="center"/>
    </xf>
    <xf numFmtId="0" fontId="4" fillId="0" borderId="40" xfId="2" applyFont="1" applyBorder="1" applyAlignment="1">
      <alignment horizontal="center" vertical="center"/>
    </xf>
    <xf numFmtId="0" fontId="5" fillId="0" borderId="23" xfId="2" applyFont="1" applyBorder="1" applyAlignment="1">
      <alignment horizontal="center"/>
    </xf>
  </cellXfs>
  <cellStyles count="4">
    <cellStyle name="Prozent" xfId="1" builtinId="5"/>
    <cellStyle name="Standard" xfId="0" builtinId="0"/>
    <cellStyle name="Standard 2" xfId="3"/>
    <cellStyle name="Standard_Tabelle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3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G64" sqref="AG64"/>
    </sheetView>
  </sheetViews>
  <sheetFormatPr baseColWidth="10" defaultRowHeight="15.75" x14ac:dyDescent="0.25"/>
  <cols>
    <col min="1" max="1" width="5.5703125" style="3" customWidth="1"/>
    <col min="2" max="2" width="4.42578125" style="4" customWidth="1"/>
    <col min="3" max="3" width="8.7109375" style="5" customWidth="1"/>
    <col min="4" max="4" width="8.7109375" style="6" customWidth="1"/>
    <col min="5" max="17" width="8.7109375" style="6" hidden="1" customWidth="1"/>
    <col min="18" max="18" width="8.7109375" style="7" hidden="1" customWidth="1"/>
    <col min="19" max="19" width="8.7109375" style="6" hidden="1" customWidth="1"/>
    <col min="20" max="21" width="8.7109375" style="117" hidden="1" customWidth="1"/>
    <col min="22" max="22" width="5.5703125" style="3" hidden="1" customWidth="1"/>
    <col min="23" max="23" width="4.42578125" style="4" hidden="1" customWidth="1"/>
    <col min="24" max="24" width="10.5703125" style="4" hidden="1" customWidth="1"/>
    <col min="25" max="25" width="10.85546875" style="4" hidden="1" customWidth="1"/>
    <col min="26" max="26" width="11.7109375" style="4" hidden="1" customWidth="1"/>
    <col min="27" max="29" width="0" style="115" hidden="1" customWidth="1"/>
    <col min="30" max="30" width="14.85546875" style="1" hidden="1" customWidth="1"/>
    <col min="31" max="31" width="22.7109375" style="1" hidden="1" customWidth="1"/>
    <col min="32" max="32" width="17" style="1" customWidth="1"/>
    <col min="33" max="33" width="18.140625" style="1" customWidth="1"/>
    <col min="34" max="34" width="18.28515625" style="1" customWidth="1"/>
    <col min="35" max="16384" width="11.42578125" style="1"/>
  </cols>
  <sheetData>
    <row r="1" spans="1:34" ht="18.75" customHeight="1" thickBot="1" x14ac:dyDescent="0.3">
      <c r="A1" s="178" t="s">
        <v>28</v>
      </c>
      <c r="B1" s="179"/>
      <c r="C1" s="182" t="s">
        <v>29</v>
      </c>
      <c r="D1" s="182" t="s">
        <v>0</v>
      </c>
      <c r="E1" s="165" t="s">
        <v>85</v>
      </c>
      <c r="F1" s="183"/>
      <c r="G1" s="183"/>
      <c r="H1" s="166"/>
      <c r="I1" s="165" t="s">
        <v>88</v>
      </c>
      <c r="J1" s="183"/>
      <c r="K1" s="183"/>
      <c r="L1" s="166"/>
      <c r="M1" s="165" t="s">
        <v>89</v>
      </c>
      <c r="N1" s="166"/>
      <c r="O1" s="165" t="s">
        <v>90</v>
      </c>
      <c r="P1" s="166"/>
      <c r="Q1" s="167" t="s">
        <v>94</v>
      </c>
      <c r="R1" s="169" t="s">
        <v>30</v>
      </c>
      <c r="S1" s="171" t="s">
        <v>100</v>
      </c>
      <c r="T1" s="116"/>
      <c r="U1" s="116"/>
      <c r="V1" s="173" t="s">
        <v>107</v>
      </c>
      <c r="W1" s="174"/>
      <c r="X1" s="174"/>
      <c r="Y1" s="174"/>
      <c r="Z1" s="174"/>
      <c r="AA1" s="174"/>
      <c r="AB1" s="174"/>
      <c r="AC1" s="174"/>
      <c r="AD1" s="174"/>
      <c r="AE1" s="175"/>
      <c r="AF1" s="176" t="s">
        <v>195</v>
      </c>
      <c r="AG1" s="176" t="s">
        <v>109</v>
      </c>
      <c r="AH1" s="176" t="s">
        <v>110</v>
      </c>
    </row>
    <row r="2" spans="1:34" s="2" customFormat="1" ht="48.75" customHeight="1" thickBot="1" x14ac:dyDescent="0.3">
      <c r="A2" s="180"/>
      <c r="B2" s="181"/>
      <c r="C2" s="177"/>
      <c r="D2" s="177"/>
      <c r="E2" s="37" t="s">
        <v>86</v>
      </c>
      <c r="F2" s="38" t="s">
        <v>87</v>
      </c>
      <c r="G2" s="40" t="s">
        <v>95</v>
      </c>
      <c r="H2" s="39" t="s">
        <v>93</v>
      </c>
      <c r="I2" s="37" t="s">
        <v>86</v>
      </c>
      <c r="J2" s="38" t="s">
        <v>87</v>
      </c>
      <c r="K2" s="40" t="s">
        <v>95</v>
      </c>
      <c r="L2" s="39" t="s">
        <v>93</v>
      </c>
      <c r="M2" s="34" t="s">
        <v>91</v>
      </c>
      <c r="N2" s="35" t="s">
        <v>92</v>
      </c>
      <c r="O2" s="33" t="s">
        <v>91</v>
      </c>
      <c r="P2" s="36" t="s">
        <v>92</v>
      </c>
      <c r="Q2" s="168"/>
      <c r="R2" s="170"/>
      <c r="S2" s="172"/>
      <c r="T2" s="116"/>
      <c r="U2" s="116"/>
      <c r="V2" s="132" t="s">
        <v>28</v>
      </c>
      <c r="W2" s="131"/>
      <c r="X2" s="133" t="s">
        <v>104</v>
      </c>
      <c r="Y2" s="133" t="s">
        <v>105</v>
      </c>
      <c r="Z2" s="133" t="s">
        <v>106</v>
      </c>
      <c r="AA2" s="134" t="s">
        <v>103</v>
      </c>
      <c r="AB2" s="134" t="s">
        <v>102</v>
      </c>
      <c r="AC2" s="145" t="s">
        <v>108</v>
      </c>
      <c r="AD2" s="146" t="s">
        <v>101</v>
      </c>
      <c r="AE2" s="135" t="s">
        <v>99</v>
      </c>
      <c r="AF2" s="177"/>
      <c r="AG2" s="177"/>
      <c r="AH2" s="177"/>
    </row>
    <row r="3" spans="1:34" ht="15.4" customHeight="1" thickBot="1" x14ac:dyDescent="0.3">
      <c r="A3" s="43"/>
      <c r="B3" s="54" t="s">
        <v>2</v>
      </c>
      <c r="C3" s="49">
        <f t="shared" ref="C3:S3" si="0">SUM(C4:C73)/2</f>
        <v>1170</v>
      </c>
      <c r="D3" s="49">
        <f t="shared" si="0"/>
        <v>15971</v>
      </c>
      <c r="E3" s="59">
        <f t="shared" si="0"/>
        <v>4909</v>
      </c>
      <c r="F3" s="44">
        <f t="shared" si="0"/>
        <v>8640</v>
      </c>
      <c r="G3" s="44">
        <f t="shared" si="0"/>
        <v>22</v>
      </c>
      <c r="H3" s="60">
        <f t="shared" si="0"/>
        <v>13571</v>
      </c>
      <c r="I3" s="59">
        <f t="shared" si="0"/>
        <v>848</v>
      </c>
      <c r="J3" s="44">
        <f t="shared" si="0"/>
        <v>1065</v>
      </c>
      <c r="K3" s="44">
        <f t="shared" si="0"/>
        <v>3</v>
      </c>
      <c r="L3" s="60">
        <f t="shared" si="0"/>
        <v>1916</v>
      </c>
      <c r="M3" s="59">
        <f t="shared" si="0"/>
        <v>116</v>
      </c>
      <c r="N3" s="60">
        <f t="shared" si="0"/>
        <v>20</v>
      </c>
      <c r="O3" s="59">
        <f t="shared" si="0"/>
        <v>244</v>
      </c>
      <c r="P3" s="60">
        <f t="shared" si="0"/>
        <v>104</v>
      </c>
      <c r="Q3" s="66">
        <f t="shared" si="0"/>
        <v>484</v>
      </c>
      <c r="R3" s="49">
        <f t="shared" si="0"/>
        <v>2562</v>
      </c>
      <c r="S3" s="49">
        <f t="shared" si="0"/>
        <v>-1777</v>
      </c>
      <c r="T3" s="116"/>
      <c r="U3" s="116"/>
      <c r="V3" s="43"/>
      <c r="W3" s="54" t="s">
        <v>2</v>
      </c>
      <c r="X3" s="129">
        <f>SUM(X4:X73)/2</f>
        <v>1218</v>
      </c>
      <c r="Y3" s="129">
        <f>SUM(Y4:Y73)/2</f>
        <v>1170</v>
      </c>
      <c r="Z3" s="129">
        <f>Y3-X3</f>
        <v>-48</v>
      </c>
      <c r="AA3" s="129">
        <v>17748</v>
      </c>
      <c r="AB3" s="129">
        <f>D3</f>
        <v>15971</v>
      </c>
      <c r="AC3" s="129">
        <f>AB3-AA3</f>
        <v>-1777</v>
      </c>
      <c r="AD3" s="130">
        <f t="shared" ref="AD3:AD40" si="1">S3/AA3</f>
        <v>-0.10012395762902862</v>
      </c>
      <c r="AE3" s="144">
        <f>R3/D3</f>
        <v>0.16041575355331539</v>
      </c>
      <c r="AF3" s="49">
        <f>SUM(AF4:AF73)/2</f>
        <v>39</v>
      </c>
      <c r="AG3" s="150">
        <f>AF3/D3*100</f>
        <v>0.24419259908584312</v>
      </c>
      <c r="AH3" s="150">
        <f>AF3/C3</f>
        <v>3.3333333333333333E-2</v>
      </c>
    </row>
    <row r="4" spans="1:34" ht="15.4" customHeight="1" thickBot="1" x14ac:dyDescent="0.3">
      <c r="A4" s="71" t="s">
        <v>3</v>
      </c>
      <c r="B4" s="72" t="s">
        <v>4</v>
      </c>
      <c r="C4" s="73">
        <f>SUM(C5)</f>
        <v>55</v>
      </c>
      <c r="D4" s="73">
        <f t="shared" ref="D4:R4" si="2">SUM(D5)</f>
        <v>632</v>
      </c>
      <c r="E4" s="74">
        <f t="shared" si="2"/>
        <v>169</v>
      </c>
      <c r="F4" s="75">
        <f t="shared" si="2"/>
        <v>307</v>
      </c>
      <c r="G4" s="75">
        <f t="shared" si="2"/>
        <v>4</v>
      </c>
      <c r="H4" s="76">
        <f t="shared" si="2"/>
        <v>480</v>
      </c>
      <c r="I4" s="74">
        <f t="shared" si="2"/>
        <v>67</v>
      </c>
      <c r="J4" s="75">
        <f t="shared" si="2"/>
        <v>63</v>
      </c>
      <c r="K4" s="75">
        <f t="shared" si="2"/>
        <v>0</v>
      </c>
      <c r="L4" s="76">
        <f t="shared" si="2"/>
        <v>130</v>
      </c>
      <c r="M4" s="74">
        <f t="shared" si="2"/>
        <v>3</v>
      </c>
      <c r="N4" s="76">
        <f t="shared" si="2"/>
        <v>1</v>
      </c>
      <c r="O4" s="74">
        <f t="shared" si="2"/>
        <v>13</v>
      </c>
      <c r="P4" s="76">
        <f t="shared" si="2"/>
        <v>5</v>
      </c>
      <c r="Q4" s="77">
        <f t="shared" si="2"/>
        <v>22</v>
      </c>
      <c r="R4" s="73">
        <f t="shared" si="2"/>
        <v>78</v>
      </c>
      <c r="S4" s="73">
        <f>SUM(S5:S5)</f>
        <v>-76</v>
      </c>
      <c r="T4" s="116"/>
      <c r="U4" s="116"/>
      <c r="V4" s="71" t="s">
        <v>3</v>
      </c>
      <c r="W4" s="72" t="s">
        <v>4</v>
      </c>
      <c r="X4" s="73">
        <f>SUM(X5)</f>
        <v>59</v>
      </c>
      <c r="Y4" s="73">
        <f>SUM(Y5)</f>
        <v>55</v>
      </c>
      <c r="Z4" s="73">
        <f t="shared" ref="Z4:Z64" si="3">Y4-X4</f>
        <v>-4</v>
      </c>
      <c r="AA4" s="73">
        <v>708</v>
      </c>
      <c r="AB4" s="73">
        <f t="shared" ref="AB4:AB64" si="4">D4</f>
        <v>632</v>
      </c>
      <c r="AC4" s="73">
        <f t="shared" ref="AC4:AC64" si="5">AB4-AA4</f>
        <v>-76</v>
      </c>
      <c r="AD4" s="118">
        <f t="shared" si="1"/>
        <v>-0.10734463276836158</v>
      </c>
      <c r="AE4" s="118">
        <f>R4/D4</f>
        <v>0.12341772151898735</v>
      </c>
      <c r="AF4" s="73">
        <f t="shared" ref="AF4" si="6">SUM(AF5)</f>
        <v>1</v>
      </c>
      <c r="AG4" s="151">
        <f t="shared" ref="AG4:AG67" si="7">AF4/D4*100</f>
        <v>0.15822784810126583</v>
      </c>
      <c r="AH4" s="151">
        <f t="shared" ref="AH4:AH67" si="8">AF4/C4</f>
        <v>1.8181818181818181E-2</v>
      </c>
    </row>
    <row r="5" spans="1:34" ht="15.4" customHeight="1" thickBot="1" x14ac:dyDescent="0.3">
      <c r="A5" s="17" t="s">
        <v>81</v>
      </c>
      <c r="B5" s="12"/>
      <c r="C5" s="78">
        <v>55</v>
      </c>
      <c r="D5" s="69">
        <f>H5+L5+Q5</f>
        <v>632</v>
      </c>
      <c r="E5" s="79">
        <v>169</v>
      </c>
      <c r="F5" s="80">
        <v>307</v>
      </c>
      <c r="G5" s="80">
        <v>4</v>
      </c>
      <c r="H5" s="95">
        <f>SUM(E5:G5)</f>
        <v>480</v>
      </c>
      <c r="I5" s="79">
        <v>67</v>
      </c>
      <c r="J5" s="81">
        <v>63</v>
      </c>
      <c r="K5" s="81">
        <v>0</v>
      </c>
      <c r="L5" s="98">
        <f>SUM(I5:K5)</f>
        <v>130</v>
      </c>
      <c r="M5" s="79">
        <v>3</v>
      </c>
      <c r="N5" s="82">
        <v>1</v>
      </c>
      <c r="O5" s="79">
        <v>13</v>
      </c>
      <c r="P5" s="82">
        <v>5</v>
      </c>
      <c r="Q5" s="101">
        <f>SUM(M5:P5)</f>
        <v>22</v>
      </c>
      <c r="R5" s="78">
        <v>78</v>
      </c>
      <c r="S5" s="69">
        <f>D5-708</f>
        <v>-76</v>
      </c>
      <c r="T5" s="116"/>
      <c r="U5" s="116"/>
      <c r="V5" s="17" t="s">
        <v>81</v>
      </c>
      <c r="W5" s="12"/>
      <c r="X5" s="78">
        <v>59</v>
      </c>
      <c r="Y5" s="78">
        <v>55</v>
      </c>
      <c r="Z5" s="78">
        <f t="shared" si="3"/>
        <v>-4</v>
      </c>
      <c r="AA5" s="69">
        <v>708</v>
      </c>
      <c r="AB5" s="69">
        <f t="shared" si="4"/>
        <v>632</v>
      </c>
      <c r="AC5" s="69">
        <f t="shared" si="5"/>
        <v>-76</v>
      </c>
      <c r="AD5" s="119">
        <f t="shared" si="1"/>
        <v>-0.10734463276836158</v>
      </c>
      <c r="AE5" s="136">
        <f t="shared" ref="AE5:AE65" si="9">R5/D5</f>
        <v>0.12341772151898735</v>
      </c>
      <c r="AF5" s="78">
        <f>COUNTIF('Mannschaftswettb. - Mannschaft'!E:E,'Übersicht Anmeldungen OBL 2021'!A5)</f>
        <v>1</v>
      </c>
      <c r="AG5" s="152">
        <f t="shared" si="7"/>
        <v>0.15822784810126583</v>
      </c>
      <c r="AH5" s="153">
        <f t="shared" si="8"/>
        <v>1.8181818181818181E-2</v>
      </c>
    </row>
    <row r="6" spans="1:34" ht="15.4" customHeight="1" thickBot="1" x14ac:dyDescent="0.3">
      <c r="A6" s="71" t="s">
        <v>5</v>
      </c>
      <c r="B6" s="72" t="s">
        <v>6</v>
      </c>
      <c r="C6" s="73">
        <f t="shared" ref="C6:S6" si="10">SUM(C7:C10)</f>
        <v>129</v>
      </c>
      <c r="D6" s="73">
        <f t="shared" si="10"/>
        <v>2013</v>
      </c>
      <c r="E6" s="74">
        <f t="shared" si="10"/>
        <v>548</v>
      </c>
      <c r="F6" s="75">
        <f t="shared" si="10"/>
        <v>1135</v>
      </c>
      <c r="G6" s="75">
        <f t="shared" si="10"/>
        <v>2</v>
      </c>
      <c r="H6" s="76">
        <f t="shared" si="10"/>
        <v>1685</v>
      </c>
      <c r="I6" s="74">
        <f t="shared" si="10"/>
        <v>126</v>
      </c>
      <c r="J6" s="75">
        <f t="shared" si="10"/>
        <v>186</v>
      </c>
      <c r="K6" s="75">
        <f t="shared" si="10"/>
        <v>0</v>
      </c>
      <c r="L6" s="76">
        <f t="shared" si="10"/>
        <v>312</v>
      </c>
      <c r="M6" s="74">
        <f t="shared" si="10"/>
        <v>6</v>
      </c>
      <c r="N6" s="76">
        <f t="shared" si="10"/>
        <v>1</v>
      </c>
      <c r="O6" s="74">
        <f t="shared" si="10"/>
        <v>5</v>
      </c>
      <c r="P6" s="76">
        <f t="shared" si="10"/>
        <v>4</v>
      </c>
      <c r="Q6" s="77">
        <f t="shared" si="10"/>
        <v>16</v>
      </c>
      <c r="R6" s="73">
        <f t="shared" si="10"/>
        <v>267</v>
      </c>
      <c r="S6" s="73">
        <f t="shared" si="10"/>
        <v>-177</v>
      </c>
      <c r="T6" s="116"/>
      <c r="U6" s="116"/>
      <c r="V6" s="71" t="s">
        <v>5</v>
      </c>
      <c r="W6" s="72" t="s">
        <v>6</v>
      </c>
      <c r="X6" s="73">
        <f t="shared" ref="X6" si="11">SUM(X7:X10)</f>
        <v>134</v>
      </c>
      <c r="Y6" s="73">
        <f t="shared" ref="Y6" si="12">SUM(Y7:Y10)</f>
        <v>129</v>
      </c>
      <c r="Z6" s="73">
        <f t="shared" si="3"/>
        <v>-5</v>
      </c>
      <c r="AA6" s="73">
        <v>2190</v>
      </c>
      <c r="AB6" s="73">
        <f t="shared" si="4"/>
        <v>2013</v>
      </c>
      <c r="AC6" s="73">
        <f t="shared" si="5"/>
        <v>-177</v>
      </c>
      <c r="AD6" s="118">
        <f t="shared" si="1"/>
        <v>-8.0821917808219179E-2</v>
      </c>
      <c r="AE6" s="118">
        <f t="shared" si="9"/>
        <v>0.13263785394932937</v>
      </c>
      <c r="AF6" s="73">
        <f t="shared" ref="AF6" si="13">SUM(AF7:AF10)</f>
        <v>3</v>
      </c>
      <c r="AG6" s="151">
        <f t="shared" si="7"/>
        <v>0.14903129657228018</v>
      </c>
      <c r="AH6" s="151">
        <f t="shared" si="8"/>
        <v>2.3255813953488372E-2</v>
      </c>
    </row>
    <row r="7" spans="1:34" ht="15.4" customHeight="1" x14ac:dyDescent="0.25">
      <c r="A7" s="13" t="s">
        <v>80</v>
      </c>
      <c r="B7" s="9"/>
      <c r="C7" s="50">
        <v>30</v>
      </c>
      <c r="D7" s="55">
        <f>H7+L7+Q7</f>
        <v>498</v>
      </c>
      <c r="E7" s="20">
        <v>142</v>
      </c>
      <c r="F7" s="30">
        <v>268</v>
      </c>
      <c r="G7" s="30">
        <v>0</v>
      </c>
      <c r="H7" s="96">
        <f>SUM(E7:G7)</f>
        <v>410</v>
      </c>
      <c r="I7" s="20">
        <v>36</v>
      </c>
      <c r="J7" s="22">
        <v>50</v>
      </c>
      <c r="K7" s="22">
        <v>0</v>
      </c>
      <c r="L7" s="99">
        <f>SUM(I7:K7)</f>
        <v>86</v>
      </c>
      <c r="M7" s="20">
        <v>1</v>
      </c>
      <c r="N7" s="61">
        <v>0</v>
      </c>
      <c r="O7" s="20">
        <v>1</v>
      </c>
      <c r="P7" s="61"/>
      <c r="Q7" s="102">
        <f>SUM(M7:P7)</f>
        <v>2</v>
      </c>
      <c r="R7" s="50">
        <v>67</v>
      </c>
      <c r="S7" s="55">
        <f>D7-559</f>
        <v>-61</v>
      </c>
      <c r="T7" s="116"/>
      <c r="U7" s="116"/>
      <c r="V7" s="13" t="s">
        <v>80</v>
      </c>
      <c r="W7" s="9"/>
      <c r="X7" s="50">
        <v>29</v>
      </c>
      <c r="Y7" s="50">
        <v>30</v>
      </c>
      <c r="Z7" s="50">
        <f t="shared" si="3"/>
        <v>1</v>
      </c>
      <c r="AA7" s="55">
        <v>559</v>
      </c>
      <c r="AB7" s="55">
        <f t="shared" si="4"/>
        <v>498</v>
      </c>
      <c r="AC7" s="55">
        <f t="shared" si="5"/>
        <v>-61</v>
      </c>
      <c r="AD7" s="120">
        <f t="shared" si="1"/>
        <v>-0.10912343470483005</v>
      </c>
      <c r="AE7" s="137">
        <f t="shared" si="9"/>
        <v>0.13453815261044177</v>
      </c>
      <c r="AF7" s="50">
        <f>COUNTIF('Mannschaftswettb. - Mannschaft'!E:E,'Übersicht Anmeldungen OBL 2021'!A7)</f>
        <v>2</v>
      </c>
      <c r="AG7" s="154">
        <f t="shared" si="7"/>
        <v>0.40160642570281119</v>
      </c>
      <c r="AH7" s="155">
        <f t="shared" si="8"/>
        <v>6.6666666666666666E-2</v>
      </c>
    </row>
    <row r="8" spans="1:34" ht="15.4" customHeight="1" x14ac:dyDescent="0.25">
      <c r="A8" s="13" t="s">
        <v>39</v>
      </c>
      <c r="B8" s="9"/>
      <c r="C8" s="50">
        <v>37</v>
      </c>
      <c r="D8" s="55">
        <f t="shared" ref="D8:D10" si="14">H8+L8+Q8</f>
        <v>685</v>
      </c>
      <c r="E8" s="20">
        <v>154</v>
      </c>
      <c r="F8" s="30">
        <v>430</v>
      </c>
      <c r="G8" s="30">
        <v>1</v>
      </c>
      <c r="H8" s="96">
        <f>SUM(E8:G8)</f>
        <v>585</v>
      </c>
      <c r="I8" s="20">
        <v>45</v>
      </c>
      <c r="J8" s="22">
        <v>47</v>
      </c>
      <c r="K8" s="22">
        <v>0</v>
      </c>
      <c r="L8" s="99">
        <f>SUM(I8:K8)</f>
        <v>92</v>
      </c>
      <c r="M8" s="20">
        <v>1</v>
      </c>
      <c r="N8" s="61">
        <v>1</v>
      </c>
      <c r="O8" s="20">
        <v>3</v>
      </c>
      <c r="P8" s="61">
        <v>3</v>
      </c>
      <c r="Q8" s="102">
        <f t="shared" ref="Q8:Q10" si="15">SUM(M8:P8)</f>
        <v>8</v>
      </c>
      <c r="R8" s="50">
        <v>90</v>
      </c>
      <c r="S8" s="55">
        <f>D8-712</f>
        <v>-27</v>
      </c>
      <c r="T8" s="116"/>
      <c r="U8" s="116"/>
      <c r="V8" s="13" t="s">
        <v>39</v>
      </c>
      <c r="W8" s="9"/>
      <c r="X8" s="50">
        <v>37</v>
      </c>
      <c r="Y8" s="50">
        <v>37</v>
      </c>
      <c r="Z8" s="50">
        <f t="shared" si="3"/>
        <v>0</v>
      </c>
      <c r="AA8" s="55">
        <v>712</v>
      </c>
      <c r="AB8" s="55">
        <f t="shared" si="4"/>
        <v>685</v>
      </c>
      <c r="AC8" s="55">
        <f t="shared" si="5"/>
        <v>-27</v>
      </c>
      <c r="AD8" s="120">
        <f t="shared" si="1"/>
        <v>-3.7921348314606744E-2</v>
      </c>
      <c r="AE8" s="137">
        <f t="shared" si="9"/>
        <v>0.13138686131386862</v>
      </c>
      <c r="AF8" s="50">
        <f>COUNTIF('Mannschaftswettb. - Mannschaft'!E:E,'Übersicht Anmeldungen OBL 2021'!A8)</f>
        <v>1</v>
      </c>
      <c r="AG8" s="154">
        <f t="shared" si="7"/>
        <v>0.145985401459854</v>
      </c>
      <c r="AH8" s="155">
        <f t="shared" si="8"/>
        <v>2.7027027027027029E-2</v>
      </c>
    </row>
    <row r="9" spans="1:34" ht="15.4" customHeight="1" x14ac:dyDescent="0.25">
      <c r="A9" s="14" t="s">
        <v>41</v>
      </c>
      <c r="B9" s="8"/>
      <c r="C9" s="51">
        <v>37</v>
      </c>
      <c r="D9" s="55">
        <f t="shared" si="14"/>
        <v>473</v>
      </c>
      <c r="E9" s="18">
        <v>133</v>
      </c>
      <c r="F9" s="28">
        <v>256</v>
      </c>
      <c r="G9" s="30">
        <v>1</v>
      </c>
      <c r="H9" s="96">
        <f>SUM(E9:G9)</f>
        <v>390</v>
      </c>
      <c r="I9" s="18">
        <v>23</v>
      </c>
      <c r="J9" s="23">
        <v>56</v>
      </c>
      <c r="K9" s="23">
        <v>0</v>
      </c>
      <c r="L9" s="99">
        <f>SUM(I9:K9)</f>
        <v>79</v>
      </c>
      <c r="M9" s="18">
        <v>2</v>
      </c>
      <c r="N9" s="63">
        <v>0</v>
      </c>
      <c r="O9" s="18">
        <v>1</v>
      </c>
      <c r="P9" s="63">
        <v>1</v>
      </c>
      <c r="Q9" s="102">
        <f t="shared" si="15"/>
        <v>4</v>
      </c>
      <c r="R9" s="51">
        <v>57</v>
      </c>
      <c r="S9" s="56">
        <f>D9-526</f>
        <v>-53</v>
      </c>
      <c r="T9" s="116"/>
      <c r="U9" s="116"/>
      <c r="V9" s="14" t="s">
        <v>41</v>
      </c>
      <c r="W9" s="8"/>
      <c r="X9" s="51">
        <v>42</v>
      </c>
      <c r="Y9" s="51">
        <v>37</v>
      </c>
      <c r="Z9" s="51">
        <f t="shared" si="3"/>
        <v>-5</v>
      </c>
      <c r="AA9" s="55">
        <v>526</v>
      </c>
      <c r="AB9" s="55">
        <f t="shared" si="4"/>
        <v>473</v>
      </c>
      <c r="AC9" s="55">
        <f t="shared" si="5"/>
        <v>-53</v>
      </c>
      <c r="AD9" s="121">
        <f t="shared" si="1"/>
        <v>-0.10076045627376426</v>
      </c>
      <c r="AE9" s="138">
        <f t="shared" si="9"/>
        <v>0.12050739957716702</v>
      </c>
      <c r="AF9" s="51">
        <f>COUNTIF('Mannschaftswettb. - Mannschaft'!E:E,'Übersicht Anmeldungen OBL 2021'!A9)</f>
        <v>0</v>
      </c>
      <c r="AG9" s="154">
        <f t="shared" si="7"/>
        <v>0</v>
      </c>
      <c r="AH9" s="156">
        <f t="shared" si="8"/>
        <v>0</v>
      </c>
    </row>
    <row r="10" spans="1:34" ht="15.4" customHeight="1" thickBot="1" x14ac:dyDescent="0.3">
      <c r="A10" s="15" t="s">
        <v>42</v>
      </c>
      <c r="B10" s="10"/>
      <c r="C10" s="52">
        <v>25</v>
      </c>
      <c r="D10" s="55">
        <f t="shared" si="14"/>
        <v>357</v>
      </c>
      <c r="E10" s="19">
        <v>119</v>
      </c>
      <c r="F10" s="29">
        <v>181</v>
      </c>
      <c r="G10" s="41">
        <v>0</v>
      </c>
      <c r="H10" s="97">
        <f>SUM(E10:G10)</f>
        <v>300</v>
      </c>
      <c r="I10" s="19">
        <v>22</v>
      </c>
      <c r="J10" s="25">
        <v>33</v>
      </c>
      <c r="K10" s="25">
        <v>0</v>
      </c>
      <c r="L10" s="100">
        <f>SUM(I10:K10)</f>
        <v>55</v>
      </c>
      <c r="M10" s="19">
        <v>2</v>
      </c>
      <c r="N10" s="64">
        <v>0</v>
      </c>
      <c r="O10" s="19">
        <v>0</v>
      </c>
      <c r="P10" s="64">
        <v>0</v>
      </c>
      <c r="Q10" s="103">
        <f t="shared" si="15"/>
        <v>2</v>
      </c>
      <c r="R10" s="52">
        <v>53</v>
      </c>
      <c r="S10" s="57">
        <f>D10-393</f>
        <v>-36</v>
      </c>
      <c r="T10" s="116"/>
      <c r="U10" s="116"/>
      <c r="V10" s="15" t="s">
        <v>42</v>
      </c>
      <c r="W10" s="10"/>
      <c r="X10" s="52">
        <v>26</v>
      </c>
      <c r="Y10" s="52">
        <v>25</v>
      </c>
      <c r="Z10" s="52">
        <f t="shared" si="3"/>
        <v>-1</v>
      </c>
      <c r="AA10" s="55">
        <v>393</v>
      </c>
      <c r="AB10" s="55">
        <f t="shared" si="4"/>
        <v>357</v>
      </c>
      <c r="AC10" s="55">
        <f t="shared" si="5"/>
        <v>-36</v>
      </c>
      <c r="AD10" s="122">
        <f t="shared" si="1"/>
        <v>-9.1603053435114504E-2</v>
      </c>
      <c r="AE10" s="139">
        <f t="shared" si="9"/>
        <v>0.1484593837535014</v>
      </c>
      <c r="AF10" s="52">
        <f>COUNTIF('Mannschaftswettb. - Mannschaft'!E:E,'Übersicht Anmeldungen OBL 2021'!A10)</f>
        <v>0</v>
      </c>
      <c r="AG10" s="154">
        <f t="shared" si="7"/>
        <v>0</v>
      </c>
      <c r="AH10" s="157">
        <f t="shared" si="8"/>
        <v>0</v>
      </c>
    </row>
    <row r="11" spans="1:34" ht="15.4" customHeight="1" thickBot="1" x14ac:dyDescent="0.3">
      <c r="A11" s="71" t="s">
        <v>7</v>
      </c>
      <c r="B11" s="72" t="s">
        <v>8</v>
      </c>
      <c r="C11" s="73">
        <f>SUM(C12:C17)</f>
        <v>189</v>
      </c>
      <c r="D11" s="73">
        <f>SUM(D12:D17)</f>
        <v>2684</v>
      </c>
      <c r="E11" s="74">
        <f t="shared" ref="E11:R11" si="16">SUM(E12:E17)</f>
        <v>853</v>
      </c>
      <c r="F11" s="75">
        <f t="shared" si="16"/>
        <v>1431</v>
      </c>
      <c r="G11" s="75">
        <f t="shared" si="16"/>
        <v>2</v>
      </c>
      <c r="H11" s="76">
        <f t="shared" si="16"/>
        <v>2286</v>
      </c>
      <c r="I11" s="74">
        <f t="shared" si="16"/>
        <v>117</v>
      </c>
      <c r="J11" s="75">
        <f t="shared" si="16"/>
        <v>173</v>
      </c>
      <c r="K11" s="75">
        <f t="shared" si="16"/>
        <v>0</v>
      </c>
      <c r="L11" s="76">
        <f t="shared" si="16"/>
        <v>290</v>
      </c>
      <c r="M11" s="74">
        <f t="shared" si="16"/>
        <v>7</v>
      </c>
      <c r="N11" s="76">
        <f t="shared" si="16"/>
        <v>1</v>
      </c>
      <c r="O11" s="74">
        <f t="shared" si="16"/>
        <v>69</v>
      </c>
      <c r="P11" s="76">
        <f t="shared" si="16"/>
        <v>31</v>
      </c>
      <c r="Q11" s="77">
        <f t="shared" si="16"/>
        <v>108</v>
      </c>
      <c r="R11" s="73">
        <f t="shared" si="16"/>
        <v>387</v>
      </c>
      <c r="S11" s="73">
        <f>SUM(S12:S17)</f>
        <v>-368</v>
      </c>
      <c r="T11" s="116"/>
      <c r="U11" s="116"/>
      <c r="V11" s="71" t="s">
        <v>7</v>
      </c>
      <c r="W11" s="72" t="s">
        <v>8</v>
      </c>
      <c r="X11" s="73">
        <f>SUM(X12:X17)</f>
        <v>189</v>
      </c>
      <c r="Y11" s="73">
        <f>SUM(Y12:Y17)</f>
        <v>189</v>
      </c>
      <c r="Z11" s="73">
        <f t="shared" si="3"/>
        <v>0</v>
      </c>
      <c r="AA11" s="73">
        <v>3052</v>
      </c>
      <c r="AB11" s="73">
        <f t="shared" si="4"/>
        <v>2684</v>
      </c>
      <c r="AC11" s="73">
        <f t="shared" si="5"/>
        <v>-368</v>
      </c>
      <c r="AD11" s="118">
        <f t="shared" si="1"/>
        <v>-0.12057667103538663</v>
      </c>
      <c r="AE11" s="118">
        <f t="shared" si="9"/>
        <v>0.14418777943368108</v>
      </c>
      <c r="AF11" s="73">
        <f>SUM(AF12:AF17)</f>
        <v>7</v>
      </c>
      <c r="AG11" s="151">
        <f t="shared" si="7"/>
        <v>0.26080476900149036</v>
      </c>
      <c r="AH11" s="151">
        <f t="shared" si="8"/>
        <v>3.7037037037037035E-2</v>
      </c>
    </row>
    <row r="12" spans="1:34" ht="15.4" customHeight="1" x14ac:dyDescent="0.25">
      <c r="A12" s="13" t="s">
        <v>45</v>
      </c>
      <c r="B12" s="9"/>
      <c r="C12" s="50">
        <v>40</v>
      </c>
      <c r="D12" s="55">
        <f>H12+L12+Q12</f>
        <v>604</v>
      </c>
      <c r="E12" s="20">
        <v>189</v>
      </c>
      <c r="F12" s="30">
        <v>298</v>
      </c>
      <c r="G12" s="30">
        <v>2</v>
      </c>
      <c r="H12" s="96">
        <f t="shared" ref="H12:H17" si="17">SUM(E12:G12)</f>
        <v>489</v>
      </c>
      <c r="I12" s="20">
        <v>34</v>
      </c>
      <c r="J12" s="22">
        <v>42</v>
      </c>
      <c r="K12" s="22">
        <v>0</v>
      </c>
      <c r="L12" s="99">
        <f t="shared" ref="L12:L17" si="18">SUM(I12:K12)</f>
        <v>76</v>
      </c>
      <c r="M12" s="20">
        <v>3</v>
      </c>
      <c r="N12" s="61">
        <v>0</v>
      </c>
      <c r="O12" s="20">
        <v>23</v>
      </c>
      <c r="P12" s="61">
        <v>13</v>
      </c>
      <c r="Q12" s="102">
        <f>SUM(M12:P12)</f>
        <v>39</v>
      </c>
      <c r="R12" s="50">
        <v>84</v>
      </c>
      <c r="S12" s="55">
        <f>D12-672</f>
        <v>-68</v>
      </c>
      <c r="T12" s="116"/>
      <c r="U12" s="116"/>
      <c r="V12" s="13" t="s">
        <v>45</v>
      </c>
      <c r="W12" s="9"/>
      <c r="X12" s="50">
        <v>40</v>
      </c>
      <c r="Y12" s="50">
        <v>40</v>
      </c>
      <c r="Z12" s="50">
        <f t="shared" si="3"/>
        <v>0</v>
      </c>
      <c r="AA12" s="55">
        <v>672</v>
      </c>
      <c r="AB12" s="55">
        <f t="shared" si="4"/>
        <v>604</v>
      </c>
      <c r="AC12" s="55">
        <f t="shared" si="5"/>
        <v>-68</v>
      </c>
      <c r="AD12" s="120">
        <f t="shared" si="1"/>
        <v>-0.10119047619047619</v>
      </c>
      <c r="AE12" s="137">
        <f t="shared" si="9"/>
        <v>0.13907284768211919</v>
      </c>
      <c r="AF12" s="50">
        <f>COUNTIF('Mannschaftswettb. - Mannschaft'!E:E,'Übersicht Anmeldungen OBL 2021'!A12)</f>
        <v>2</v>
      </c>
      <c r="AG12" s="154">
        <f t="shared" si="7"/>
        <v>0.33112582781456956</v>
      </c>
      <c r="AH12" s="155">
        <f t="shared" si="8"/>
        <v>0.05</v>
      </c>
    </row>
    <row r="13" spans="1:34" ht="15.4" customHeight="1" x14ac:dyDescent="0.25">
      <c r="A13" s="14" t="s">
        <v>47</v>
      </c>
      <c r="B13" s="8"/>
      <c r="C13" s="51">
        <v>14</v>
      </c>
      <c r="D13" s="55">
        <f t="shared" ref="D13:D17" si="19">H13+L13+Q13</f>
        <v>178</v>
      </c>
      <c r="E13" s="18">
        <v>56</v>
      </c>
      <c r="F13" s="28">
        <v>108</v>
      </c>
      <c r="G13" s="28">
        <v>0</v>
      </c>
      <c r="H13" s="96">
        <f t="shared" si="17"/>
        <v>164</v>
      </c>
      <c r="I13" s="18">
        <v>3</v>
      </c>
      <c r="J13" s="23">
        <v>11</v>
      </c>
      <c r="K13" s="23">
        <v>0</v>
      </c>
      <c r="L13" s="99">
        <f t="shared" si="18"/>
        <v>14</v>
      </c>
      <c r="M13" s="18">
        <v>0</v>
      </c>
      <c r="N13" s="63">
        <v>0</v>
      </c>
      <c r="O13" s="18">
        <v>0</v>
      </c>
      <c r="P13" s="63">
        <v>0</v>
      </c>
      <c r="Q13" s="102">
        <f t="shared" ref="Q13:Q17" si="20">SUM(M13:P13)</f>
        <v>0</v>
      </c>
      <c r="R13" s="51">
        <v>28</v>
      </c>
      <c r="S13" s="56">
        <f>D13-224</f>
        <v>-46</v>
      </c>
      <c r="T13" s="116"/>
      <c r="U13" s="116"/>
      <c r="V13" s="14" t="s">
        <v>47</v>
      </c>
      <c r="W13" s="8"/>
      <c r="X13" s="51">
        <v>15</v>
      </c>
      <c r="Y13" s="51">
        <v>14</v>
      </c>
      <c r="Z13" s="51">
        <f t="shared" si="3"/>
        <v>-1</v>
      </c>
      <c r="AA13" s="55">
        <v>224</v>
      </c>
      <c r="AB13" s="55">
        <f t="shared" si="4"/>
        <v>178</v>
      </c>
      <c r="AC13" s="55">
        <f t="shared" si="5"/>
        <v>-46</v>
      </c>
      <c r="AD13" s="121">
        <f t="shared" si="1"/>
        <v>-0.20535714285714285</v>
      </c>
      <c r="AE13" s="138">
        <f t="shared" si="9"/>
        <v>0.15730337078651685</v>
      </c>
      <c r="AF13" s="51">
        <f>COUNTIF('Mannschaftswettb. - Mannschaft'!E:E,'Übersicht Anmeldungen OBL 2021'!A13)</f>
        <v>0</v>
      </c>
      <c r="AG13" s="154">
        <f t="shared" si="7"/>
        <v>0</v>
      </c>
      <c r="AH13" s="156">
        <f t="shared" si="8"/>
        <v>0</v>
      </c>
    </row>
    <row r="14" spans="1:34" ht="15.4" customHeight="1" x14ac:dyDescent="0.25">
      <c r="A14" s="14" t="s">
        <v>49</v>
      </c>
      <c r="B14" s="8"/>
      <c r="C14" s="51">
        <v>21</v>
      </c>
      <c r="D14" s="55">
        <f t="shared" si="19"/>
        <v>239</v>
      </c>
      <c r="E14" s="18">
        <v>66</v>
      </c>
      <c r="F14" s="28">
        <v>138</v>
      </c>
      <c r="G14" s="28">
        <v>0</v>
      </c>
      <c r="H14" s="96">
        <f t="shared" si="17"/>
        <v>204</v>
      </c>
      <c r="I14" s="18">
        <v>15</v>
      </c>
      <c r="J14" s="23">
        <v>17</v>
      </c>
      <c r="K14" s="23">
        <v>0</v>
      </c>
      <c r="L14" s="99">
        <f t="shared" si="18"/>
        <v>32</v>
      </c>
      <c r="M14" s="18">
        <v>0</v>
      </c>
      <c r="N14" s="63">
        <v>1</v>
      </c>
      <c r="O14" s="18">
        <v>2</v>
      </c>
      <c r="P14" s="63">
        <v>0</v>
      </c>
      <c r="Q14" s="102">
        <f t="shared" si="20"/>
        <v>3</v>
      </c>
      <c r="R14" s="51">
        <v>36</v>
      </c>
      <c r="S14" s="56">
        <f>D14-300</f>
        <v>-61</v>
      </c>
      <c r="T14" s="116"/>
      <c r="U14" s="116"/>
      <c r="V14" s="14" t="s">
        <v>49</v>
      </c>
      <c r="W14" s="8"/>
      <c r="X14" s="51">
        <v>21</v>
      </c>
      <c r="Y14" s="51">
        <v>21</v>
      </c>
      <c r="Z14" s="51">
        <f t="shared" si="3"/>
        <v>0</v>
      </c>
      <c r="AA14" s="55">
        <v>300</v>
      </c>
      <c r="AB14" s="55">
        <f t="shared" si="4"/>
        <v>239</v>
      </c>
      <c r="AC14" s="55">
        <f t="shared" si="5"/>
        <v>-61</v>
      </c>
      <c r="AD14" s="121">
        <f t="shared" si="1"/>
        <v>-0.20333333333333334</v>
      </c>
      <c r="AE14" s="138">
        <f t="shared" si="9"/>
        <v>0.15062761506276151</v>
      </c>
      <c r="AF14" s="51">
        <f>COUNTIF('Mannschaftswettb. - Mannschaft'!E:E,'Übersicht Anmeldungen OBL 2021'!A14)</f>
        <v>2</v>
      </c>
      <c r="AG14" s="154">
        <f t="shared" si="7"/>
        <v>0.83682008368200833</v>
      </c>
      <c r="AH14" s="156">
        <f t="shared" si="8"/>
        <v>9.5238095238095233E-2</v>
      </c>
    </row>
    <row r="15" spans="1:34" ht="15.4" customHeight="1" x14ac:dyDescent="0.25">
      <c r="A15" s="14" t="s">
        <v>51</v>
      </c>
      <c r="B15" s="8"/>
      <c r="C15" s="51">
        <v>18</v>
      </c>
      <c r="D15" s="55">
        <f t="shared" si="19"/>
        <v>272</v>
      </c>
      <c r="E15" s="18">
        <v>85</v>
      </c>
      <c r="F15" s="28">
        <v>146</v>
      </c>
      <c r="G15" s="28">
        <v>0</v>
      </c>
      <c r="H15" s="96">
        <f t="shared" si="17"/>
        <v>231</v>
      </c>
      <c r="I15" s="18">
        <v>12</v>
      </c>
      <c r="J15" s="23">
        <v>28</v>
      </c>
      <c r="K15" s="23">
        <v>0</v>
      </c>
      <c r="L15" s="99">
        <f t="shared" si="18"/>
        <v>40</v>
      </c>
      <c r="M15" s="18">
        <v>0</v>
      </c>
      <c r="N15" s="63">
        <v>0</v>
      </c>
      <c r="O15" s="18">
        <v>1</v>
      </c>
      <c r="P15" s="63">
        <v>0</v>
      </c>
      <c r="Q15" s="102">
        <f t="shared" si="20"/>
        <v>1</v>
      </c>
      <c r="R15" s="51">
        <v>62</v>
      </c>
      <c r="S15" s="56">
        <f>D15-304</f>
        <v>-32</v>
      </c>
      <c r="T15" s="116"/>
      <c r="U15" s="116"/>
      <c r="V15" s="14" t="s">
        <v>51</v>
      </c>
      <c r="W15" s="8"/>
      <c r="X15" s="51">
        <v>18</v>
      </c>
      <c r="Y15" s="51">
        <v>18</v>
      </c>
      <c r="Z15" s="51">
        <f t="shared" si="3"/>
        <v>0</v>
      </c>
      <c r="AA15" s="55">
        <v>304</v>
      </c>
      <c r="AB15" s="55">
        <f t="shared" si="4"/>
        <v>272</v>
      </c>
      <c r="AC15" s="55">
        <f t="shared" si="5"/>
        <v>-32</v>
      </c>
      <c r="AD15" s="121">
        <f t="shared" si="1"/>
        <v>-0.10526315789473684</v>
      </c>
      <c r="AE15" s="138">
        <f t="shared" si="9"/>
        <v>0.22794117647058823</v>
      </c>
      <c r="AF15" s="51">
        <f>COUNTIF('Mannschaftswettb. - Mannschaft'!E:E,'Übersicht Anmeldungen OBL 2021'!A15)</f>
        <v>0</v>
      </c>
      <c r="AG15" s="154">
        <f t="shared" si="7"/>
        <v>0</v>
      </c>
      <c r="AH15" s="156">
        <f t="shared" si="8"/>
        <v>0</v>
      </c>
    </row>
    <row r="16" spans="1:34" ht="15.4" customHeight="1" x14ac:dyDescent="0.25">
      <c r="A16" s="14" t="s">
        <v>53</v>
      </c>
      <c r="B16" s="8"/>
      <c r="C16" s="51">
        <v>57</v>
      </c>
      <c r="D16" s="55">
        <f t="shared" si="19"/>
        <v>698</v>
      </c>
      <c r="E16" s="18">
        <v>172</v>
      </c>
      <c r="F16" s="28">
        <v>400</v>
      </c>
      <c r="G16" s="28">
        <v>0</v>
      </c>
      <c r="H16" s="96">
        <f t="shared" si="17"/>
        <v>572</v>
      </c>
      <c r="I16" s="18">
        <v>34</v>
      </c>
      <c r="J16" s="23">
        <v>49</v>
      </c>
      <c r="K16" s="23">
        <v>0</v>
      </c>
      <c r="L16" s="99">
        <f t="shared" si="18"/>
        <v>83</v>
      </c>
      <c r="M16" s="18">
        <v>2</v>
      </c>
      <c r="N16" s="63">
        <v>0</v>
      </c>
      <c r="O16" s="18">
        <v>30</v>
      </c>
      <c r="P16" s="63">
        <v>11</v>
      </c>
      <c r="Q16" s="102">
        <f t="shared" si="20"/>
        <v>43</v>
      </c>
      <c r="R16" s="51">
        <v>105</v>
      </c>
      <c r="S16" s="56">
        <f>D16-801</f>
        <v>-103</v>
      </c>
      <c r="T16" s="116"/>
      <c r="U16" s="116"/>
      <c r="V16" s="14" t="s">
        <v>53</v>
      </c>
      <c r="W16" s="8"/>
      <c r="X16" s="51">
        <v>54</v>
      </c>
      <c r="Y16" s="51">
        <v>57</v>
      </c>
      <c r="Z16" s="51">
        <f t="shared" si="3"/>
        <v>3</v>
      </c>
      <c r="AA16" s="55">
        <v>801</v>
      </c>
      <c r="AB16" s="55">
        <f t="shared" si="4"/>
        <v>698</v>
      </c>
      <c r="AC16" s="55">
        <f t="shared" si="5"/>
        <v>-103</v>
      </c>
      <c r="AD16" s="121">
        <f t="shared" si="1"/>
        <v>-0.1285892634207241</v>
      </c>
      <c r="AE16" s="138">
        <f t="shared" si="9"/>
        <v>0.1504297994269341</v>
      </c>
      <c r="AF16" s="51">
        <f>COUNTIF('Mannschaftswettb. - Mannschaft'!E:E,'Übersicht Anmeldungen OBL 2021'!A16)</f>
        <v>0</v>
      </c>
      <c r="AG16" s="154">
        <f t="shared" si="7"/>
        <v>0</v>
      </c>
      <c r="AH16" s="156">
        <f t="shared" si="8"/>
        <v>0</v>
      </c>
    </row>
    <row r="17" spans="1:34" ht="15.4" customHeight="1" thickBot="1" x14ac:dyDescent="0.3">
      <c r="A17" s="15" t="s">
        <v>55</v>
      </c>
      <c r="B17" s="10"/>
      <c r="C17" s="52">
        <v>39</v>
      </c>
      <c r="D17" s="55">
        <f t="shared" si="19"/>
        <v>693</v>
      </c>
      <c r="E17" s="19">
        <v>285</v>
      </c>
      <c r="F17" s="29">
        <v>341</v>
      </c>
      <c r="G17" s="29">
        <v>0</v>
      </c>
      <c r="H17" s="97">
        <f t="shared" si="17"/>
        <v>626</v>
      </c>
      <c r="I17" s="19">
        <v>19</v>
      </c>
      <c r="J17" s="25">
        <v>26</v>
      </c>
      <c r="K17" s="25">
        <v>0</v>
      </c>
      <c r="L17" s="100">
        <f t="shared" si="18"/>
        <v>45</v>
      </c>
      <c r="M17" s="19">
        <v>2</v>
      </c>
      <c r="N17" s="64">
        <v>0</v>
      </c>
      <c r="O17" s="19">
        <v>13</v>
      </c>
      <c r="P17" s="64">
        <v>7</v>
      </c>
      <c r="Q17" s="103">
        <f t="shared" si="20"/>
        <v>22</v>
      </c>
      <c r="R17" s="52">
        <v>72</v>
      </c>
      <c r="S17" s="57">
        <f>D17-751</f>
        <v>-58</v>
      </c>
      <c r="T17" s="116"/>
      <c r="U17" s="116"/>
      <c r="V17" s="15" t="s">
        <v>55</v>
      </c>
      <c r="W17" s="10"/>
      <c r="X17" s="52">
        <v>41</v>
      </c>
      <c r="Y17" s="52">
        <v>39</v>
      </c>
      <c r="Z17" s="52">
        <f t="shared" si="3"/>
        <v>-2</v>
      </c>
      <c r="AA17" s="55">
        <v>751</v>
      </c>
      <c r="AB17" s="55">
        <f t="shared" si="4"/>
        <v>693</v>
      </c>
      <c r="AC17" s="55">
        <f t="shared" si="5"/>
        <v>-58</v>
      </c>
      <c r="AD17" s="122">
        <f t="shared" si="1"/>
        <v>-7.7230359520639141E-2</v>
      </c>
      <c r="AE17" s="139">
        <f t="shared" si="9"/>
        <v>0.1038961038961039</v>
      </c>
      <c r="AF17" s="52">
        <f>COUNTIF('Mannschaftswettb. - Mannschaft'!E:E,'Übersicht Anmeldungen OBL 2021'!A17)</f>
        <v>3</v>
      </c>
      <c r="AG17" s="154">
        <f t="shared" si="7"/>
        <v>0.4329004329004329</v>
      </c>
      <c r="AH17" s="157">
        <f t="shared" si="8"/>
        <v>7.6923076923076927E-2</v>
      </c>
    </row>
    <row r="18" spans="1:34" ht="15.4" customHeight="1" thickBot="1" x14ac:dyDescent="0.3">
      <c r="A18" s="71" t="s">
        <v>9</v>
      </c>
      <c r="B18" s="72" t="s">
        <v>10</v>
      </c>
      <c r="C18" s="73">
        <f>SUM(C19:C28)</f>
        <v>153</v>
      </c>
      <c r="D18" s="73">
        <f t="shared" ref="D18:R18" si="21">SUM(D19:D28)</f>
        <v>2006</v>
      </c>
      <c r="E18" s="74">
        <f t="shared" si="21"/>
        <v>556</v>
      </c>
      <c r="F18" s="75">
        <f t="shared" si="21"/>
        <v>1130</v>
      </c>
      <c r="G18" s="75">
        <f t="shared" si="21"/>
        <v>4</v>
      </c>
      <c r="H18" s="76">
        <f t="shared" si="21"/>
        <v>1690</v>
      </c>
      <c r="I18" s="74">
        <f t="shared" si="21"/>
        <v>112</v>
      </c>
      <c r="J18" s="75">
        <f t="shared" si="21"/>
        <v>142</v>
      </c>
      <c r="K18" s="75">
        <f t="shared" si="21"/>
        <v>0</v>
      </c>
      <c r="L18" s="76">
        <f t="shared" si="21"/>
        <v>254</v>
      </c>
      <c r="M18" s="74">
        <f t="shared" si="21"/>
        <v>28</v>
      </c>
      <c r="N18" s="76">
        <f t="shared" si="21"/>
        <v>12</v>
      </c>
      <c r="O18" s="74">
        <f t="shared" si="21"/>
        <v>15</v>
      </c>
      <c r="P18" s="76">
        <f t="shared" si="21"/>
        <v>7</v>
      </c>
      <c r="Q18" s="77">
        <f t="shared" si="21"/>
        <v>62</v>
      </c>
      <c r="R18" s="73">
        <f t="shared" si="21"/>
        <v>383</v>
      </c>
      <c r="S18" s="73">
        <f>SUM(S19:S28)</f>
        <v>-207</v>
      </c>
      <c r="T18" s="116"/>
      <c r="U18" s="116"/>
      <c r="V18" s="71" t="s">
        <v>9</v>
      </c>
      <c r="W18" s="72" t="s">
        <v>10</v>
      </c>
      <c r="X18" s="73">
        <f>SUM(X19:X28)</f>
        <v>163</v>
      </c>
      <c r="Y18" s="73">
        <f>SUM(Y19:Y28)</f>
        <v>153</v>
      </c>
      <c r="Z18" s="73">
        <f t="shared" si="3"/>
        <v>-10</v>
      </c>
      <c r="AA18" s="73">
        <v>2213</v>
      </c>
      <c r="AB18" s="73">
        <f t="shared" si="4"/>
        <v>2006</v>
      </c>
      <c r="AC18" s="73">
        <f t="shared" si="5"/>
        <v>-207</v>
      </c>
      <c r="AD18" s="118">
        <f t="shared" si="1"/>
        <v>-9.3538183461364666E-2</v>
      </c>
      <c r="AE18" s="118">
        <f t="shared" si="9"/>
        <v>0.19092721834496509</v>
      </c>
      <c r="AF18" s="73">
        <f t="shared" ref="AF18" si="22">SUM(AF19:AF28)</f>
        <v>2</v>
      </c>
      <c r="AG18" s="151">
        <f t="shared" si="7"/>
        <v>9.970089730807577E-2</v>
      </c>
      <c r="AH18" s="151">
        <f t="shared" si="8"/>
        <v>1.3071895424836602E-2</v>
      </c>
    </row>
    <row r="19" spans="1:34" ht="15.4" customHeight="1" x14ac:dyDescent="0.25">
      <c r="A19" s="13" t="s">
        <v>58</v>
      </c>
      <c r="B19" s="9"/>
      <c r="C19" s="50">
        <v>9</v>
      </c>
      <c r="D19" s="55">
        <f>H19+L19+Q19</f>
        <v>112</v>
      </c>
      <c r="E19" s="20">
        <v>29</v>
      </c>
      <c r="F19" s="30">
        <v>55</v>
      </c>
      <c r="G19" s="30">
        <v>1</v>
      </c>
      <c r="H19" s="96">
        <f t="shared" ref="H19:H28" si="23">SUM(E19:G19)</f>
        <v>85</v>
      </c>
      <c r="I19" s="20">
        <v>8</v>
      </c>
      <c r="J19" s="22">
        <v>14</v>
      </c>
      <c r="K19" s="22">
        <v>0</v>
      </c>
      <c r="L19" s="99">
        <f t="shared" ref="L19:L28" si="24">SUM(I19:K19)</f>
        <v>22</v>
      </c>
      <c r="M19" s="20">
        <v>2</v>
      </c>
      <c r="N19" s="61">
        <v>0</v>
      </c>
      <c r="O19" s="20">
        <v>3</v>
      </c>
      <c r="P19" s="61">
        <v>0</v>
      </c>
      <c r="Q19" s="102">
        <f>SUM(M19:P19)</f>
        <v>5</v>
      </c>
      <c r="R19" s="50">
        <v>22</v>
      </c>
      <c r="S19" s="55">
        <f>D19-130</f>
        <v>-18</v>
      </c>
      <c r="T19" s="116"/>
      <c r="U19" s="116"/>
      <c r="V19" s="13" t="s">
        <v>58</v>
      </c>
      <c r="W19" s="9"/>
      <c r="X19" s="50">
        <v>10</v>
      </c>
      <c r="Y19" s="50">
        <v>9</v>
      </c>
      <c r="Z19" s="50">
        <f t="shared" si="3"/>
        <v>-1</v>
      </c>
      <c r="AA19" s="55">
        <v>130</v>
      </c>
      <c r="AB19" s="55">
        <f t="shared" si="4"/>
        <v>112</v>
      </c>
      <c r="AC19" s="55">
        <f t="shared" si="5"/>
        <v>-18</v>
      </c>
      <c r="AD19" s="120">
        <f t="shared" si="1"/>
        <v>-0.13846153846153847</v>
      </c>
      <c r="AE19" s="137">
        <f t="shared" si="9"/>
        <v>0.19642857142857142</v>
      </c>
      <c r="AF19" s="50">
        <f>COUNTIF('Mannschaftswettb. - Mannschaft'!E:E,'Übersicht Anmeldungen OBL 2021'!A19)</f>
        <v>0</v>
      </c>
      <c r="AG19" s="154">
        <f t="shared" si="7"/>
        <v>0</v>
      </c>
      <c r="AH19" s="155">
        <f t="shared" si="8"/>
        <v>0</v>
      </c>
    </row>
    <row r="20" spans="1:34" ht="15.4" customHeight="1" x14ac:dyDescent="0.25">
      <c r="A20" s="14" t="s">
        <v>60</v>
      </c>
      <c r="B20" s="8"/>
      <c r="C20" s="51">
        <v>21</v>
      </c>
      <c r="D20" s="55">
        <f t="shared" ref="D20:D28" si="25">H20+L20+Q20</f>
        <v>257</v>
      </c>
      <c r="E20" s="18">
        <v>60</v>
      </c>
      <c r="F20" s="28">
        <v>153</v>
      </c>
      <c r="G20" s="28">
        <v>1</v>
      </c>
      <c r="H20" s="96">
        <f t="shared" si="23"/>
        <v>214</v>
      </c>
      <c r="I20" s="18">
        <v>14</v>
      </c>
      <c r="J20" s="23">
        <v>20</v>
      </c>
      <c r="K20" s="23">
        <v>0</v>
      </c>
      <c r="L20" s="99">
        <f t="shared" si="24"/>
        <v>34</v>
      </c>
      <c r="M20" s="18">
        <v>4</v>
      </c>
      <c r="N20" s="63">
        <v>3</v>
      </c>
      <c r="O20" s="18">
        <v>1</v>
      </c>
      <c r="P20" s="63">
        <v>1</v>
      </c>
      <c r="Q20" s="102">
        <f t="shared" ref="Q20:Q28" si="26">SUM(M20:P20)</f>
        <v>9</v>
      </c>
      <c r="R20" s="51">
        <v>38</v>
      </c>
      <c r="S20" s="56">
        <f>D20-286</f>
        <v>-29</v>
      </c>
      <c r="T20" s="116"/>
      <c r="U20" s="116"/>
      <c r="V20" s="14" t="s">
        <v>60</v>
      </c>
      <c r="W20" s="8"/>
      <c r="X20" s="51">
        <v>22</v>
      </c>
      <c r="Y20" s="51">
        <v>21</v>
      </c>
      <c r="Z20" s="51">
        <f t="shared" si="3"/>
        <v>-1</v>
      </c>
      <c r="AA20" s="55">
        <v>286</v>
      </c>
      <c r="AB20" s="55">
        <f t="shared" si="4"/>
        <v>257</v>
      </c>
      <c r="AC20" s="55">
        <f t="shared" si="5"/>
        <v>-29</v>
      </c>
      <c r="AD20" s="121">
        <f t="shared" si="1"/>
        <v>-0.10139860139860139</v>
      </c>
      <c r="AE20" s="138">
        <f t="shared" si="9"/>
        <v>0.14785992217898833</v>
      </c>
      <c r="AF20" s="51">
        <f>COUNTIF('Mannschaftswettb. - Mannschaft'!E:E,'Übersicht Anmeldungen OBL 2021'!A20)</f>
        <v>0</v>
      </c>
      <c r="AG20" s="154">
        <f t="shared" si="7"/>
        <v>0</v>
      </c>
      <c r="AH20" s="156">
        <f t="shared" si="8"/>
        <v>0</v>
      </c>
    </row>
    <row r="21" spans="1:34" ht="15.4" customHeight="1" x14ac:dyDescent="0.25">
      <c r="A21" s="14" t="s">
        <v>61</v>
      </c>
      <c r="B21" s="8"/>
      <c r="C21" s="51">
        <v>26</v>
      </c>
      <c r="D21" s="55">
        <f t="shared" si="25"/>
        <v>395</v>
      </c>
      <c r="E21" s="18">
        <v>81</v>
      </c>
      <c r="F21" s="28">
        <v>235</v>
      </c>
      <c r="G21" s="28">
        <v>1</v>
      </c>
      <c r="H21" s="96">
        <f t="shared" si="23"/>
        <v>317</v>
      </c>
      <c r="I21" s="18">
        <v>28</v>
      </c>
      <c r="J21" s="23">
        <v>42</v>
      </c>
      <c r="K21" s="23">
        <v>0</v>
      </c>
      <c r="L21" s="99">
        <f t="shared" si="24"/>
        <v>70</v>
      </c>
      <c r="M21" s="18">
        <v>3</v>
      </c>
      <c r="N21" s="63">
        <v>2</v>
      </c>
      <c r="O21" s="18">
        <v>2</v>
      </c>
      <c r="P21" s="63">
        <v>1</v>
      </c>
      <c r="Q21" s="102">
        <f t="shared" si="26"/>
        <v>8</v>
      </c>
      <c r="R21" s="51">
        <v>79</v>
      </c>
      <c r="S21" s="56">
        <f>D21-426</f>
        <v>-31</v>
      </c>
      <c r="T21" s="116"/>
      <c r="U21" s="116"/>
      <c r="V21" s="14" t="s">
        <v>61</v>
      </c>
      <c r="W21" s="8"/>
      <c r="X21" s="51">
        <v>27</v>
      </c>
      <c r="Y21" s="51">
        <v>26</v>
      </c>
      <c r="Z21" s="51">
        <f t="shared" si="3"/>
        <v>-1</v>
      </c>
      <c r="AA21" s="55">
        <v>426</v>
      </c>
      <c r="AB21" s="55">
        <f t="shared" si="4"/>
        <v>395</v>
      </c>
      <c r="AC21" s="55">
        <f t="shared" si="5"/>
        <v>-31</v>
      </c>
      <c r="AD21" s="121">
        <f t="shared" si="1"/>
        <v>-7.2769953051643188E-2</v>
      </c>
      <c r="AE21" s="138">
        <f t="shared" si="9"/>
        <v>0.2</v>
      </c>
      <c r="AF21" s="51">
        <f>COUNTIF('Mannschaftswettb. - Mannschaft'!E:E,'Übersicht Anmeldungen OBL 2021'!A21)</f>
        <v>0</v>
      </c>
      <c r="AG21" s="154">
        <f t="shared" si="7"/>
        <v>0</v>
      </c>
      <c r="AH21" s="156">
        <f t="shared" si="8"/>
        <v>0</v>
      </c>
    </row>
    <row r="22" spans="1:34" ht="15.4" customHeight="1" x14ac:dyDescent="0.25">
      <c r="A22" s="14" t="s">
        <v>62</v>
      </c>
      <c r="B22" s="8"/>
      <c r="C22" s="51">
        <v>9</v>
      </c>
      <c r="D22" s="55">
        <f t="shared" si="25"/>
        <v>98</v>
      </c>
      <c r="E22" s="18">
        <v>32</v>
      </c>
      <c r="F22" s="28">
        <v>56</v>
      </c>
      <c r="G22" s="28">
        <v>0</v>
      </c>
      <c r="H22" s="96">
        <f t="shared" si="23"/>
        <v>88</v>
      </c>
      <c r="I22" s="18">
        <v>1</v>
      </c>
      <c r="J22" s="23">
        <v>6</v>
      </c>
      <c r="K22" s="23">
        <v>0</v>
      </c>
      <c r="L22" s="99">
        <f t="shared" si="24"/>
        <v>7</v>
      </c>
      <c r="M22" s="18">
        <v>1</v>
      </c>
      <c r="N22" s="63">
        <v>0</v>
      </c>
      <c r="O22" s="18">
        <v>2</v>
      </c>
      <c r="P22" s="63">
        <v>0</v>
      </c>
      <c r="Q22" s="102">
        <f t="shared" si="26"/>
        <v>3</v>
      </c>
      <c r="R22" s="51">
        <v>36</v>
      </c>
      <c r="S22" s="56">
        <f>D22-116</f>
        <v>-18</v>
      </c>
      <c r="T22" s="116"/>
      <c r="U22" s="116"/>
      <c r="V22" s="14" t="s">
        <v>62</v>
      </c>
      <c r="W22" s="8"/>
      <c r="X22" s="51">
        <v>11</v>
      </c>
      <c r="Y22" s="51">
        <v>9</v>
      </c>
      <c r="Z22" s="51">
        <f t="shared" si="3"/>
        <v>-2</v>
      </c>
      <c r="AA22" s="55">
        <v>116</v>
      </c>
      <c r="AB22" s="55">
        <f t="shared" si="4"/>
        <v>98</v>
      </c>
      <c r="AC22" s="55">
        <f t="shared" si="5"/>
        <v>-18</v>
      </c>
      <c r="AD22" s="121">
        <f t="shared" si="1"/>
        <v>-0.15517241379310345</v>
      </c>
      <c r="AE22" s="138">
        <f t="shared" si="9"/>
        <v>0.36734693877551022</v>
      </c>
      <c r="AF22" s="51">
        <f>COUNTIF('Mannschaftswettb. - Mannschaft'!E:E,'Übersicht Anmeldungen OBL 2021'!A22)</f>
        <v>0</v>
      </c>
      <c r="AG22" s="154">
        <f t="shared" si="7"/>
        <v>0</v>
      </c>
      <c r="AH22" s="156">
        <f t="shared" si="8"/>
        <v>0</v>
      </c>
    </row>
    <row r="23" spans="1:34" ht="15.4" customHeight="1" x14ac:dyDescent="0.25">
      <c r="A23" s="14" t="s">
        <v>63</v>
      </c>
      <c r="B23" s="8"/>
      <c r="C23" s="51">
        <v>13</v>
      </c>
      <c r="D23" s="55">
        <f t="shared" si="25"/>
        <v>128</v>
      </c>
      <c r="E23" s="18">
        <v>45</v>
      </c>
      <c r="F23" s="28">
        <v>57</v>
      </c>
      <c r="G23" s="28">
        <v>0</v>
      </c>
      <c r="H23" s="96">
        <f t="shared" si="23"/>
        <v>102</v>
      </c>
      <c r="I23" s="18">
        <v>13</v>
      </c>
      <c r="J23" s="23">
        <v>9</v>
      </c>
      <c r="K23" s="23">
        <v>0</v>
      </c>
      <c r="L23" s="99">
        <f t="shared" si="24"/>
        <v>22</v>
      </c>
      <c r="M23" s="18">
        <v>3</v>
      </c>
      <c r="N23" s="63">
        <v>0</v>
      </c>
      <c r="O23" s="18">
        <v>1</v>
      </c>
      <c r="P23" s="63">
        <v>0</v>
      </c>
      <c r="Q23" s="102">
        <f t="shared" si="26"/>
        <v>4</v>
      </c>
      <c r="R23" s="51">
        <v>33</v>
      </c>
      <c r="S23" s="56">
        <f>D23-143</f>
        <v>-15</v>
      </c>
      <c r="T23" s="116"/>
      <c r="U23" s="116"/>
      <c r="V23" s="14" t="s">
        <v>63</v>
      </c>
      <c r="W23" s="8"/>
      <c r="X23" s="51">
        <v>13</v>
      </c>
      <c r="Y23" s="51">
        <v>13</v>
      </c>
      <c r="Z23" s="51">
        <f t="shared" si="3"/>
        <v>0</v>
      </c>
      <c r="AA23" s="55">
        <v>143</v>
      </c>
      <c r="AB23" s="55">
        <f t="shared" si="4"/>
        <v>128</v>
      </c>
      <c r="AC23" s="55">
        <f t="shared" si="5"/>
        <v>-15</v>
      </c>
      <c r="AD23" s="121">
        <f t="shared" si="1"/>
        <v>-0.1048951048951049</v>
      </c>
      <c r="AE23" s="138">
        <f t="shared" si="9"/>
        <v>0.2578125</v>
      </c>
      <c r="AF23" s="51">
        <f>COUNTIF('Mannschaftswettb. - Mannschaft'!E:E,'Übersicht Anmeldungen OBL 2021'!A23)</f>
        <v>0</v>
      </c>
      <c r="AG23" s="154">
        <f t="shared" si="7"/>
        <v>0</v>
      </c>
      <c r="AH23" s="156">
        <f t="shared" si="8"/>
        <v>0</v>
      </c>
    </row>
    <row r="24" spans="1:34" ht="15.4" customHeight="1" x14ac:dyDescent="0.25">
      <c r="A24" s="14" t="s">
        <v>64</v>
      </c>
      <c r="B24" s="8"/>
      <c r="C24" s="51">
        <v>17</v>
      </c>
      <c r="D24" s="55">
        <f t="shared" si="25"/>
        <v>258</v>
      </c>
      <c r="E24" s="18">
        <v>79</v>
      </c>
      <c r="F24" s="28">
        <v>149</v>
      </c>
      <c r="G24" s="28">
        <v>0</v>
      </c>
      <c r="H24" s="96">
        <f t="shared" si="23"/>
        <v>228</v>
      </c>
      <c r="I24" s="18">
        <v>10</v>
      </c>
      <c r="J24" s="23">
        <v>12</v>
      </c>
      <c r="K24" s="23">
        <v>0</v>
      </c>
      <c r="L24" s="99">
        <f t="shared" si="24"/>
        <v>22</v>
      </c>
      <c r="M24" s="18">
        <v>3</v>
      </c>
      <c r="N24" s="63">
        <v>1</v>
      </c>
      <c r="O24" s="18">
        <v>2</v>
      </c>
      <c r="P24" s="63">
        <v>2</v>
      </c>
      <c r="Q24" s="102">
        <f t="shared" si="26"/>
        <v>8</v>
      </c>
      <c r="R24" s="51">
        <v>23</v>
      </c>
      <c r="S24" s="56">
        <f>D24-291</f>
        <v>-33</v>
      </c>
      <c r="T24" s="116"/>
      <c r="U24" s="116"/>
      <c r="V24" s="14" t="s">
        <v>64</v>
      </c>
      <c r="W24" s="8"/>
      <c r="X24" s="51">
        <v>19</v>
      </c>
      <c r="Y24" s="51">
        <v>17</v>
      </c>
      <c r="Z24" s="51">
        <f t="shared" si="3"/>
        <v>-2</v>
      </c>
      <c r="AA24" s="55">
        <v>291</v>
      </c>
      <c r="AB24" s="55">
        <f t="shared" si="4"/>
        <v>258</v>
      </c>
      <c r="AC24" s="55">
        <f t="shared" si="5"/>
        <v>-33</v>
      </c>
      <c r="AD24" s="121">
        <f t="shared" si="1"/>
        <v>-0.1134020618556701</v>
      </c>
      <c r="AE24" s="138">
        <f t="shared" si="9"/>
        <v>8.9147286821705432E-2</v>
      </c>
      <c r="AF24" s="51">
        <f>COUNTIF('Mannschaftswettb. - Mannschaft'!E:E,'Übersicht Anmeldungen OBL 2021'!A24)</f>
        <v>2</v>
      </c>
      <c r="AG24" s="154">
        <f t="shared" si="7"/>
        <v>0.77519379844961245</v>
      </c>
      <c r="AH24" s="156">
        <f t="shared" si="8"/>
        <v>0.11764705882352941</v>
      </c>
    </row>
    <row r="25" spans="1:34" ht="15.4" customHeight="1" x14ac:dyDescent="0.25">
      <c r="A25" s="14" t="s">
        <v>65</v>
      </c>
      <c r="B25" s="8"/>
      <c r="C25" s="51">
        <v>9</v>
      </c>
      <c r="D25" s="55">
        <f t="shared" si="25"/>
        <v>132</v>
      </c>
      <c r="E25" s="18">
        <v>28</v>
      </c>
      <c r="F25" s="28">
        <v>85</v>
      </c>
      <c r="G25" s="28">
        <v>0</v>
      </c>
      <c r="H25" s="96">
        <f t="shared" si="23"/>
        <v>113</v>
      </c>
      <c r="I25" s="18">
        <v>5</v>
      </c>
      <c r="J25" s="23">
        <v>11</v>
      </c>
      <c r="K25" s="23">
        <v>0</v>
      </c>
      <c r="L25" s="99">
        <f t="shared" si="24"/>
        <v>16</v>
      </c>
      <c r="M25" s="18">
        <v>1</v>
      </c>
      <c r="N25" s="63">
        <v>1</v>
      </c>
      <c r="O25" s="18">
        <v>1</v>
      </c>
      <c r="P25" s="63">
        <v>0</v>
      </c>
      <c r="Q25" s="102">
        <f t="shared" si="26"/>
        <v>3</v>
      </c>
      <c r="R25" s="51">
        <v>25</v>
      </c>
      <c r="S25" s="56">
        <f>D25-140</f>
        <v>-8</v>
      </c>
      <c r="T25" s="116"/>
      <c r="U25" s="116"/>
      <c r="V25" s="14" t="s">
        <v>65</v>
      </c>
      <c r="W25" s="8"/>
      <c r="X25" s="51">
        <v>9</v>
      </c>
      <c r="Y25" s="51">
        <v>9</v>
      </c>
      <c r="Z25" s="51">
        <f t="shared" si="3"/>
        <v>0</v>
      </c>
      <c r="AA25" s="55">
        <v>140</v>
      </c>
      <c r="AB25" s="55">
        <f t="shared" si="4"/>
        <v>132</v>
      </c>
      <c r="AC25" s="55">
        <f t="shared" si="5"/>
        <v>-8</v>
      </c>
      <c r="AD25" s="121">
        <f t="shared" si="1"/>
        <v>-5.7142857142857141E-2</v>
      </c>
      <c r="AE25" s="138">
        <f t="shared" si="9"/>
        <v>0.18939393939393939</v>
      </c>
      <c r="AF25" s="51">
        <f>COUNTIF('Mannschaftswettb. - Mannschaft'!E:E,'Übersicht Anmeldungen OBL 2021'!A25)</f>
        <v>0</v>
      </c>
      <c r="AG25" s="154">
        <f t="shared" si="7"/>
        <v>0</v>
      </c>
      <c r="AH25" s="156">
        <f t="shared" si="8"/>
        <v>0</v>
      </c>
    </row>
    <row r="26" spans="1:34" ht="15.4" customHeight="1" x14ac:dyDescent="0.25">
      <c r="A26" s="14" t="s">
        <v>67</v>
      </c>
      <c r="B26" s="8"/>
      <c r="C26" s="51">
        <v>20</v>
      </c>
      <c r="D26" s="55">
        <f t="shared" si="25"/>
        <v>227</v>
      </c>
      <c r="E26" s="18">
        <v>66</v>
      </c>
      <c r="F26" s="28">
        <v>125</v>
      </c>
      <c r="G26" s="28">
        <v>1</v>
      </c>
      <c r="H26" s="96">
        <f t="shared" si="23"/>
        <v>192</v>
      </c>
      <c r="I26" s="18">
        <v>11</v>
      </c>
      <c r="J26" s="23">
        <v>16</v>
      </c>
      <c r="K26" s="23">
        <v>0</v>
      </c>
      <c r="L26" s="99">
        <f t="shared" si="24"/>
        <v>27</v>
      </c>
      <c r="M26" s="18">
        <v>3</v>
      </c>
      <c r="N26" s="63">
        <v>2</v>
      </c>
      <c r="O26" s="18">
        <v>1</v>
      </c>
      <c r="P26" s="63">
        <v>2</v>
      </c>
      <c r="Q26" s="102">
        <f t="shared" si="26"/>
        <v>8</v>
      </c>
      <c r="R26" s="51">
        <v>50</v>
      </c>
      <c r="S26" s="56">
        <f>D26-266</f>
        <v>-39</v>
      </c>
      <c r="T26" s="116"/>
      <c r="U26" s="116"/>
      <c r="V26" s="14" t="s">
        <v>67</v>
      </c>
      <c r="W26" s="8"/>
      <c r="X26" s="51">
        <v>23</v>
      </c>
      <c r="Y26" s="51">
        <v>20</v>
      </c>
      <c r="Z26" s="51">
        <f t="shared" si="3"/>
        <v>-3</v>
      </c>
      <c r="AA26" s="55">
        <v>266</v>
      </c>
      <c r="AB26" s="55">
        <f t="shared" si="4"/>
        <v>227</v>
      </c>
      <c r="AC26" s="55">
        <f t="shared" si="5"/>
        <v>-39</v>
      </c>
      <c r="AD26" s="121">
        <f t="shared" si="1"/>
        <v>-0.14661654135338345</v>
      </c>
      <c r="AE26" s="138">
        <f t="shared" si="9"/>
        <v>0.22026431718061673</v>
      </c>
      <c r="AF26" s="51">
        <f>COUNTIF('Mannschaftswettb. - Mannschaft'!E:E,'Übersicht Anmeldungen OBL 2021'!A26)</f>
        <v>0</v>
      </c>
      <c r="AG26" s="154">
        <f t="shared" si="7"/>
        <v>0</v>
      </c>
      <c r="AH26" s="156">
        <f t="shared" si="8"/>
        <v>0</v>
      </c>
    </row>
    <row r="27" spans="1:34" ht="15.4" customHeight="1" x14ac:dyDescent="0.25">
      <c r="A27" s="14" t="s">
        <v>68</v>
      </c>
      <c r="B27" s="8"/>
      <c r="C27" s="51">
        <v>12</v>
      </c>
      <c r="D27" s="55">
        <f t="shared" si="25"/>
        <v>91</v>
      </c>
      <c r="E27" s="18">
        <v>30</v>
      </c>
      <c r="F27" s="28">
        <v>52</v>
      </c>
      <c r="G27" s="28">
        <v>0</v>
      </c>
      <c r="H27" s="96">
        <f t="shared" si="23"/>
        <v>82</v>
      </c>
      <c r="I27" s="18">
        <v>2</v>
      </c>
      <c r="J27" s="23">
        <v>4</v>
      </c>
      <c r="K27" s="23">
        <v>0</v>
      </c>
      <c r="L27" s="99">
        <f t="shared" si="24"/>
        <v>6</v>
      </c>
      <c r="M27" s="18">
        <v>1</v>
      </c>
      <c r="N27" s="63">
        <v>1</v>
      </c>
      <c r="O27" s="18">
        <v>1</v>
      </c>
      <c r="P27" s="63">
        <v>0</v>
      </c>
      <c r="Q27" s="102">
        <f t="shared" si="26"/>
        <v>3</v>
      </c>
      <c r="R27" s="51">
        <v>15</v>
      </c>
      <c r="S27" s="56">
        <f>D27-97</f>
        <v>-6</v>
      </c>
      <c r="T27" s="116"/>
      <c r="U27" s="116"/>
      <c r="V27" s="14" t="s">
        <v>68</v>
      </c>
      <c r="W27" s="8"/>
      <c r="X27" s="51">
        <v>12</v>
      </c>
      <c r="Y27" s="51">
        <v>12</v>
      </c>
      <c r="Z27" s="51">
        <f t="shared" si="3"/>
        <v>0</v>
      </c>
      <c r="AA27" s="55">
        <v>97</v>
      </c>
      <c r="AB27" s="55">
        <f t="shared" si="4"/>
        <v>91</v>
      </c>
      <c r="AC27" s="55">
        <f t="shared" si="5"/>
        <v>-6</v>
      </c>
      <c r="AD27" s="121">
        <f t="shared" si="1"/>
        <v>-6.1855670103092786E-2</v>
      </c>
      <c r="AE27" s="138">
        <f t="shared" si="9"/>
        <v>0.16483516483516483</v>
      </c>
      <c r="AF27" s="51">
        <f>COUNTIF('Mannschaftswettb. - Mannschaft'!E:E,'Übersicht Anmeldungen OBL 2021'!A27)</f>
        <v>0</v>
      </c>
      <c r="AG27" s="154">
        <f t="shared" si="7"/>
        <v>0</v>
      </c>
      <c r="AH27" s="156">
        <f t="shared" si="8"/>
        <v>0</v>
      </c>
    </row>
    <row r="28" spans="1:34" ht="15.4" customHeight="1" thickBot="1" x14ac:dyDescent="0.3">
      <c r="A28" s="15" t="s">
        <v>69</v>
      </c>
      <c r="B28" s="10"/>
      <c r="C28" s="52">
        <v>17</v>
      </c>
      <c r="D28" s="55">
        <f t="shared" si="25"/>
        <v>308</v>
      </c>
      <c r="E28" s="19">
        <v>106</v>
      </c>
      <c r="F28" s="29">
        <v>163</v>
      </c>
      <c r="G28" s="29">
        <v>0</v>
      </c>
      <c r="H28" s="97">
        <f t="shared" si="23"/>
        <v>269</v>
      </c>
      <c r="I28" s="19">
        <v>20</v>
      </c>
      <c r="J28" s="25">
        <v>8</v>
      </c>
      <c r="K28" s="25">
        <v>0</v>
      </c>
      <c r="L28" s="100">
        <f t="shared" si="24"/>
        <v>28</v>
      </c>
      <c r="M28" s="19">
        <v>7</v>
      </c>
      <c r="N28" s="64">
        <v>2</v>
      </c>
      <c r="O28" s="19">
        <v>1</v>
      </c>
      <c r="P28" s="64">
        <v>1</v>
      </c>
      <c r="Q28" s="103">
        <f t="shared" si="26"/>
        <v>11</v>
      </c>
      <c r="R28" s="52">
        <v>62</v>
      </c>
      <c r="S28" s="57">
        <f>D28-318</f>
        <v>-10</v>
      </c>
      <c r="T28" s="116"/>
      <c r="U28" s="116"/>
      <c r="V28" s="15" t="s">
        <v>69</v>
      </c>
      <c r="W28" s="10"/>
      <c r="X28" s="52">
        <v>17</v>
      </c>
      <c r="Y28" s="52">
        <v>17</v>
      </c>
      <c r="Z28" s="52">
        <f t="shared" si="3"/>
        <v>0</v>
      </c>
      <c r="AA28" s="55">
        <v>318</v>
      </c>
      <c r="AB28" s="55">
        <f t="shared" si="4"/>
        <v>308</v>
      </c>
      <c r="AC28" s="55">
        <f t="shared" si="5"/>
        <v>-10</v>
      </c>
      <c r="AD28" s="122">
        <f t="shared" si="1"/>
        <v>-3.1446540880503145E-2</v>
      </c>
      <c r="AE28" s="139">
        <f t="shared" si="9"/>
        <v>0.20129870129870131</v>
      </c>
      <c r="AF28" s="52">
        <f>COUNTIF('Mannschaftswettb. - Mannschaft'!E:E,'Übersicht Anmeldungen OBL 2021'!A28)</f>
        <v>0</v>
      </c>
      <c r="AG28" s="154">
        <f t="shared" si="7"/>
        <v>0</v>
      </c>
      <c r="AH28" s="157">
        <f t="shared" si="8"/>
        <v>0</v>
      </c>
    </row>
    <row r="29" spans="1:34" ht="15.4" customHeight="1" thickBot="1" x14ac:dyDescent="0.3">
      <c r="A29" s="71" t="s">
        <v>11</v>
      </c>
      <c r="B29" s="72" t="s">
        <v>12</v>
      </c>
      <c r="C29" s="73">
        <f t="shared" ref="C29:S29" si="27">SUM(C30:C35)</f>
        <v>79</v>
      </c>
      <c r="D29" s="73">
        <f t="shared" si="27"/>
        <v>794</v>
      </c>
      <c r="E29" s="74">
        <f t="shared" si="27"/>
        <v>233</v>
      </c>
      <c r="F29" s="75">
        <f t="shared" si="27"/>
        <v>455</v>
      </c>
      <c r="G29" s="75">
        <f t="shared" si="27"/>
        <v>4</v>
      </c>
      <c r="H29" s="76">
        <f t="shared" si="27"/>
        <v>692</v>
      </c>
      <c r="I29" s="74">
        <f t="shared" si="27"/>
        <v>50</v>
      </c>
      <c r="J29" s="75">
        <f t="shared" si="27"/>
        <v>49</v>
      </c>
      <c r="K29" s="75">
        <f t="shared" si="27"/>
        <v>0</v>
      </c>
      <c r="L29" s="76">
        <f t="shared" si="27"/>
        <v>99</v>
      </c>
      <c r="M29" s="74">
        <f t="shared" si="27"/>
        <v>1</v>
      </c>
      <c r="N29" s="76">
        <f t="shared" si="27"/>
        <v>0</v>
      </c>
      <c r="O29" s="74">
        <f t="shared" si="27"/>
        <v>1</v>
      </c>
      <c r="P29" s="76">
        <f t="shared" si="27"/>
        <v>1</v>
      </c>
      <c r="Q29" s="77">
        <f t="shared" si="27"/>
        <v>3</v>
      </c>
      <c r="R29" s="73">
        <f t="shared" si="27"/>
        <v>188</v>
      </c>
      <c r="S29" s="73">
        <f t="shared" si="27"/>
        <v>-99</v>
      </c>
      <c r="T29" s="116"/>
      <c r="U29" s="116"/>
      <c r="V29" s="71" t="s">
        <v>11</v>
      </c>
      <c r="W29" s="72" t="s">
        <v>12</v>
      </c>
      <c r="X29" s="73">
        <f t="shared" ref="X29" si="28">SUM(X30:X35)</f>
        <v>82</v>
      </c>
      <c r="Y29" s="73">
        <f t="shared" ref="Y29" si="29">SUM(Y30:Y35)</f>
        <v>79</v>
      </c>
      <c r="Z29" s="73">
        <f t="shared" si="3"/>
        <v>-3</v>
      </c>
      <c r="AA29" s="73">
        <v>893</v>
      </c>
      <c r="AB29" s="73">
        <f t="shared" si="4"/>
        <v>794</v>
      </c>
      <c r="AC29" s="73">
        <f t="shared" si="5"/>
        <v>-99</v>
      </c>
      <c r="AD29" s="118">
        <f t="shared" si="1"/>
        <v>-0.11086226203807391</v>
      </c>
      <c r="AE29" s="118">
        <f t="shared" si="9"/>
        <v>0.23677581863979849</v>
      </c>
      <c r="AF29" s="73">
        <f t="shared" ref="AF29" si="30">SUM(AF30:AF35)</f>
        <v>3</v>
      </c>
      <c r="AG29" s="151">
        <f t="shared" si="7"/>
        <v>0.37783375314861462</v>
      </c>
      <c r="AH29" s="151">
        <f t="shared" si="8"/>
        <v>3.7974683544303799E-2</v>
      </c>
    </row>
    <row r="30" spans="1:34" ht="15.4" customHeight="1" x14ac:dyDescent="0.25">
      <c r="A30" s="13" t="s">
        <v>70</v>
      </c>
      <c r="B30" s="9"/>
      <c r="C30" s="50">
        <v>31</v>
      </c>
      <c r="D30" s="55">
        <f>H30+L30+Q30</f>
        <v>204</v>
      </c>
      <c r="E30" s="20">
        <v>55</v>
      </c>
      <c r="F30" s="30">
        <v>124</v>
      </c>
      <c r="G30" s="30">
        <v>0</v>
      </c>
      <c r="H30" s="96">
        <f t="shared" ref="H30:H35" si="31">SUM(E30:G30)</f>
        <v>179</v>
      </c>
      <c r="I30" s="20">
        <v>9</v>
      </c>
      <c r="J30" s="22">
        <v>16</v>
      </c>
      <c r="K30" s="22">
        <v>0</v>
      </c>
      <c r="L30" s="99">
        <f t="shared" ref="L30:L35" si="32">SUM(I30:K30)</f>
        <v>25</v>
      </c>
      <c r="M30" s="20">
        <v>0</v>
      </c>
      <c r="N30" s="61">
        <v>0</v>
      </c>
      <c r="O30" s="20">
        <v>0</v>
      </c>
      <c r="P30" s="61">
        <v>0</v>
      </c>
      <c r="Q30" s="102">
        <f>SUM(M30:P30)</f>
        <v>0</v>
      </c>
      <c r="R30" s="50">
        <v>43</v>
      </c>
      <c r="S30" s="55">
        <f>D30-237</f>
        <v>-33</v>
      </c>
      <c r="T30" s="116"/>
      <c r="U30" s="116"/>
      <c r="V30" s="13" t="s">
        <v>70</v>
      </c>
      <c r="W30" s="9"/>
      <c r="X30" s="50">
        <v>32</v>
      </c>
      <c r="Y30" s="50">
        <v>31</v>
      </c>
      <c r="Z30" s="50">
        <f t="shared" si="3"/>
        <v>-1</v>
      </c>
      <c r="AA30" s="55">
        <v>237</v>
      </c>
      <c r="AB30" s="55">
        <f t="shared" si="4"/>
        <v>204</v>
      </c>
      <c r="AC30" s="55">
        <f t="shared" si="5"/>
        <v>-33</v>
      </c>
      <c r="AD30" s="120">
        <f t="shared" si="1"/>
        <v>-0.13924050632911392</v>
      </c>
      <c r="AE30" s="137">
        <f t="shared" si="9"/>
        <v>0.2107843137254902</v>
      </c>
      <c r="AF30" s="50">
        <f>COUNTIF('Mannschaftswettb. - Mannschaft'!E:E,'Übersicht Anmeldungen OBL 2021'!A30)</f>
        <v>2</v>
      </c>
      <c r="AG30" s="154">
        <f t="shared" si="7"/>
        <v>0.98039215686274506</v>
      </c>
      <c r="AH30" s="155">
        <f t="shared" si="8"/>
        <v>6.4516129032258063E-2</v>
      </c>
    </row>
    <row r="31" spans="1:34" ht="15.4" customHeight="1" x14ac:dyDescent="0.25">
      <c r="A31" s="14" t="s">
        <v>71</v>
      </c>
      <c r="B31" s="8"/>
      <c r="C31" s="51">
        <v>12</v>
      </c>
      <c r="D31" s="55">
        <f t="shared" ref="D31:D40" si="33">H31+L31+Q31</f>
        <v>178</v>
      </c>
      <c r="E31" s="18">
        <v>47</v>
      </c>
      <c r="F31" s="28">
        <v>108</v>
      </c>
      <c r="G31" s="28">
        <v>4</v>
      </c>
      <c r="H31" s="96">
        <f t="shared" si="31"/>
        <v>159</v>
      </c>
      <c r="I31" s="18">
        <v>10</v>
      </c>
      <c r="J31" s="23">
        <v>9</v>
      </c>
      <c r="K31" s="23">
        <v>0</v>
      </c>
      <c r="L31" s="99">
        <f t="shared" si="32"/>
        <v>19</v>
      </c>
      <c r="M31" s="18">
        <v>0</v>
      </c>
      <c r="N31" s="63">
        <v>0</v>
      </c>
      <c r="O31" s="18">
        <v>0</v>
      </c>
      <c r="P31" s="63">
        <v>0</v>
      </c>
      <c r="Q31" s="102">
        <f t="shared" ref="Q31:Q35" si="34">SUM(M31:P31)</f>
        <v>0</v>
      </c>
      <c r="R31" s="51">
        <v>49</v>
      </c>
      <c r="S31" s="56">
        <f>D31-208</f>
        <v>-30</v>
      </c>
      <c r="T31" s="116"/>
      <c r="U31" s="116"/>
      <c r="V31" s="14" t="s">
        <v>71</v>
      </c>
      <c r="W31" s="8"/>
      <c r="X31" s="51">
        <v>13</v>
      </c>
      <c r="Y31" s="51">
        <v>12</v>
      </c>
      <c r="Z31" s="51">
        <f t="shared" si="3"/>
        <v>-1</v>
      </c>
      <c r="AA31" s="55">
        <v>208</v>
      </c>
      <c r="AB31" s="55">
        <f t="shared" si="4"/>
        <v>178</v>
      </c>
      <c r="AC31" s="55">
        <f t="shared" si="5"/>
        <v>-30</v>
      </c>
      <c r="AD31" s="121">
        <f t="shared" si="1"/>
        <v>-0.14423076923076922</v>
      </c>
      <c r="AE31" s="138">
        <f t="shared" si="9"/>
        <v>0.2752808988764045</v>
      </c>
      <c r="AF31" s="51">
        <f>COUNTIF('Mannschaftswettb. - Mannschaft'!E:E,'Übersicht Anmeldungen OBL 2021'!A31)</f>
        <v>1</v>
      </c>
      <c r="AG31" s="154">
        <f t="shared" si="7"/>
        <v>0.5617977528089888</v>
      </c>
      <c r="AH31" s="156">
        <f t="shared" si="8"/>
        <v>8.3333333333333329E-2</v>
      </c>
    </row>
    <row r="32" spans="1:34" ht="15.4" customHeight="1" x14ac:dyDescent="0.25">
      <c r="A32" s="14" t="s">
        <v>72</v>
      </c>
      <c r="B32" s="8"/>
      <c r="C32" s="51">
        <v>8</v>
      </c>
      <c r="D32" s="55">
        <f t="shared" si="33"/>
        <v>57</v>
      </c>
      <c r="E32" s="18">
        <v>26</v>
      </c>
      <c r="F32" s="28">
        <v>23</v>
      </c>
      <c r="G32" s="28">
        <v>0</v>
      </c>
      <c r="H32" s="96">
        <f t="shared" si="31"/>
        <v>49</v>
      </c>
      <c r="I32" s="18">
        <v>4</v>
      </c>
      <c r="J32" s="23">
        <v>3</v>
      </c>
      <c r="K32" s="23">
        <v>0</v>
      </c>
      <c r="L32" s="99">
        <f t="shared" si="32"/>
        <v>7</v>
      </c>
      <c r="M32" s="18">
        <v>0</v>
      </c>
      <c r="N32" s="63">
        <v>0</v>
      </c>
      <c r="O32" s="18">
        <v>1</v>
      </c>
      <c r="P32" s="63">
        <v>0</v>
      </c>
      <c r="Q32" s="102">
        <f t="shared" si="34"/>
        <v>1</v>
      </c>
      <c r="R32" s="51">
        <v>10</v>
      </c>
      <c r="S32" s="56">
        <f>D32-60</f>
        <v>-3</v>
      </c>
      <c r="T32" s="116"/>
      <c r="U32" s="116"/>
      <c r="V32" s="14" t="s">
        <v>72</v>
      </c>
      <c r="W32" s="8"/>
      <c r="X32" s="51">
        <v>9</v>
      </c>
      <c r="Y32" s="51">
        <v>8</v>
      </c>
      <c r="Z32" s="51">
        <f t="shared" si="3"/>
        <v>-1</v>
      </c>
      <c r="AA32" s="55">
        <v>60</v>
      </c>
      <c r="AB32" s="55">
        <f t="shared" si="4"/>
        <v>57</v>
      </c>
      <c r="AC32" s="55">
        <f t="shared" si="5"/>
        <v>-3</v>
      </c>
      <c r="AD32" s="121">
        <f t="shared" si="1"/>
        <v>-0.05</v>
      </c>
      <c r="AE32" s="138">
        <f t="shared" si="9"/>
        <v>0.17543859649122806</v>
      </c>
      <c r="AF32" s="51">
        <f>COUNTIF('Mannschaftswettb. - Mannschaft'!E:E,'Übersicht Anmeldungen OBL 2021'!A32)</f>
        <v>0</v>
      </c>
      <c r="AG32" s="154">
        <f t="shared" si="7"/>
        <v>0</v>
      </c>
      <c r="AH32" s="156">
        <f t="shared" si="8"/>
        <v>0</v>
      </c>
    </row>
    <row r="33" spans="1:34" ht="15.4" customHeight="1" x14ac:dyDescent="0.25">
      <c r="A33" s="14" t="s">
        <v>73</v>
      </c>
      <c r="B33" s="8"/>
      <c r="C33" s="51">
        <v>11</v>
      </c>
      <c r="D33" s="55">
        <f t="shared" si="33"/>
        <v>110</v>
      </c>
      <c r="E33" s="18">
        <v>36</v>
      </c>
      <c r="F33" s="28">
        <v>63</v>
      </c>
      <c r="G33" s="28">
        <v>0</v>
      </c>
      <c r="H33" s="96">
        <f t="shared" si="31"/>
        <v>99</v>
      </c>
      <c r="I33" s="18">
        <v>6</v>
      </c>
      <c r="J33" s="23">
        <v>5</v>
      </c>
      <c r="K33" s="23">
        <v>0</v>
      </c>
      <c r="L33" s="99">
        <f t="shared" si="32"/>
        <v>11</v>
      </c>
      <c r="M33" s="18">
        <v>0</v>
      </c>
      <c r="N33" s="63">
        <v>0</v>
      </c>
      <c r="O33" s="18">
        <v>0</v>
      </c>
      <c r="P33" s="63">
        <v>0</v>
      </c>
      <c r="Q33" s="102">
        <f t="shared" si="34"/>
        <v>0</v>
      </c>
      <c r="R33" s="51">
        <v>29</v>
      </c>
      <c r="S33" s="56">
        <f>D33-120</f>
        <v>-10</v>
      </c>
      <c r="T33" s="116"/>
      <c r="U33" s="116"/>
      <c r="V33" s="14" t="s">
        <v>73</v>
      </c>
      <c r="W33" s="8"/>
      <c r="X33" s="51">
        <v>11</v>
      </c>
      <c r="Y33" s="51">
        <v>11</v>
      </c>
      <c r="Z33" s="51">
        <f t="shared" si="3"/>
        <v>0</v>
      </c>
      <c r="AA33" s="55">
        <v>120</v>
      </c>
      <c r="AB33" s="55">
        <f t="shared" si="4"/>
        <v>110</v>
      </c>
      <c r="AC33" s="55">
        <f t="shared" si="5"/>
        <v>-10</v>
      </c>
      <c r="AD33" s="121">
        <f t="shared" si="1"/>
        <v>-8.3333333333333329E-2</v>
      </c>
      <c r="AE33" s="138">
        <f t="shared" si="9"/>
        <v>0.26363636363636361</v>
      </c>
      <c r="AF33" s="51">
        <f>COUNTIF('Mannschaftswettb. - Mannschaft'!E:E,'Übersicht Anmeldungen OBL 2021'!A33)</f>
        <v>0</v>
      </c>
      <c r="AG33" s="154">
        <f t="shared" si="7"/>
        <v>0</v>
      </c>
      <c r="AH33" s="156">
        <f t="shared" si="8"/>
        <v>0</v>
      </c>
    </row>
    <row r="34" spans="1:34" ht="15.4" customHeight="1" x14ac:dyDescent="0.25">
      <c r="A34" s="14" t="s">
        <v>74</v>
      </c>
      <c r="B34" s="8"/>
      <c r="C34" s="51">
        <v>12</v>
      </c>
      <c r="D34" s="55">
        <f t="shared" si="33"/>
        <v>169</v>
      </c>
      <c r="E34" s="18">
        <v>47</v>
      </c>
      <c r="F34" s="28">
        <v>94</v>
      </c>
      <c r="G34" s="28">
        <v>0</v>
      </c>
      <c r="H34" s="96">
        <f t="shared" si="31"/>
        <v>141</v>
      </c>
      <c r="I34" s="18">
        <v>18</v>
      </c>
      <c r="J34" s="23">
        <v>8</v>
      </c>
      <c r="K34" s="23">
        <v>0</v>
      </c>
      <c r="L34" s="99">
        <f t="shared" si="32"/>
        <v>26</v>
      </c>
      <c r="M34" s="18">
        <v>1</v>
      </c>
      <c r="N34" s="63">
        <v>0</v>
      </c>
      <c r="O34" s="18">
        <v>0</v>
      </c>
      <c r="P34" s="63">
        <v>1</v>
      </c>
      <c r="Q34" s="102">
        <f t="shared" si="34"/>
        <v>2</v>
      </c>
      <c r="R34" s="51">
        <v>31</v>
      </c>
      <c r="S34" s="56">
        <f>D34-177</f>
        <v>-8</v>
      </c>
      <c r="T34" s="116"/>
      <c r="U34" s="116"/>
      <c r="V34" s="14" t="s">
        <v>74</v>
      </c>
      <c r="W34" s="8"/>
      <c r="X34" s="51">
        <v>12</v>
      </c>
      <c r="Y34" s="51">
        <v>12</v>
      </c>
      <c r="Z34" s="51">
        <f t="shared" si="3"/>
        <v>0</v>
      </c>
      <c r="AA34" s="55">
        <v>177</v>
      </c>
      <c r="AB34" s="55">
        <f t="shared" si="4"/>
        <v>169</v>
      </c>
      <c r="AC34" s="55">
        <f t="shared" si="5"/>
        <v>-8</v>
      </c>
      <c r="AD34" s="121">
        <f t="shared" si="1"/>
        <v>-4.519774011299435E-2</v>
      </c>
      <c r="AE34" s="138">
        <f t="shared" si="9"/>
        <v>0.18343195266272189</v>
      </c>
      <c r="AF34" s="51">
        <f>COUNTIF('Mannschaftswettb. - Mannschaft'!E:E,'Übersicht Anmeldungen OBL 2021'!A34)</f>
        <v>0</v>
      </c>
      <c r="AG34" s="154">
        <f t="shared" si="7"/>
        <v>0</v>
      </c>
      <c r="AH34" s="156">
        <f t="shared" si="8"/>
        <v>0</v>
      </c>
    </row>
    <row r="35" spans="1:34" ht="15.4" customHeight="1" thickBot="1" x14ac:dyDescent="0.3">
      <c r="A35" s="15" t="s">
        <v>75</v>
      </c>
      <c r="B35" s="10"/>
      <c r="C35" s="52">
        <v>5</v>
      </c>
      <c r="D35" s="55">
        <f t="shared" si="33"/>
        <v>76</v>
      </c>
      <c r="E35" s="19">
        <v>22</v>
      </c>
      <c r="F35" s="29">
        <v>43</v>
      </c>
      <c r="G35" s="29">
        <v>0</v>
      </c>
      <c r="H35" s="97">
        <f t="shared" si="31"/>
        <v>65</v>
      </c>
      <c r="I35" s="19">
        <v>3</v>
      </c>
      <c r="J35" s="25">
        <v>8</v>
      </c>
      <c r="K35" s="25">
        <v>0</v>
      </c>
      <c r="L35" s="100">
        <f t="shared" si="32"/>
        <v>11</v>
      </c>
      <c r="M35" s="19">
        <v>0</v>
      </c>
      <c r="N35" s="64">
        <v>0</v>
      </c>
      <c r="O35" s="19">
        <v>0</v>
      </c>
      <c r="P35" s="64">
        <v>0</v>
      </c>
      <c r="Q35" s="103">
        <f t="shared" si="34"/>
        <v>0</v>
      </c>
      <c r="R35" s="52">
        <v>26</v>
      </c>
      <c r="S35" s="57">
        <f>D35-91</f>
        <v>-15</v>
      </c>
      <c r="T35" s="116"/>
      <c r="U35" s="116"/>
      <c r="V35" s="15" t="s">
        <v>75</v>
      </c>
      <c r="W35" s="10"/>
      <c r="X35" s="52">
        <v>5</v>
      </c>
      <c r="Y35" s="52">
        <v>5</v>
      </c>
      <c r="Z35" s="52">
        <f t="shared" si="3"/>
        <v>0</v>
      </c>
      <c r="AA35" s="55">
        <v>91</v>
      </c>
      <c r="AB35" s="55">
        <f t="shared" si="4"/>
        <v>76</v>
      </c>
      <c r="AC35" s="55">
        <f t="shared" si="5"/>
        <v>-15</v>
      </c>
      <c r="AD35" s="122">
        <f t="shared" si="1"/>
        <v>-0.16483516483516483</v>
      </c>
      <c r="AE35" s="139">
        <f t="shared" si="9"/>
        <v>0.34210526315789475</v>
      </c>
      <c r="AF35" s="52">
        <f>COUNTIF('Mannschaftswettb. - Mannschaft'!E:E,'Übersicht Anmeldungen OBL 2021'!A35)</f>
        <v>0</v>
      </c>
      <c r="AG35" s="154">
        <f t="shared" si="7"/>
        <v>0</v>
      </c>
      <c r="AH35" s="157">
        <f t="shared" si="8"/>
        <v>0</v>
      </c>
    </row>
    <row r="36" spans="1:34" ht="15.4" customHeight="1" thickBot="1" x14ac:dyDescent="0.3">
      <c r="A36" s="71" t="s">
        <v>13</v>
      </c>
      <c r="B36" s="72" t="s">
        <v>14</v>
      </c>
      <c r="C36" s="73">
        <f t="shared" ref="C36:S36" si="35">SUM(C37:C40)</f>
        <v>66</v>
      </c>
      <c r="D36" s="73">
        <f t="shared" si="35"/>
        <v>1006</v>
      </c>
      <c r="E36" s="74">
        <f t="shared" si="35"/>
        <v>265</v>
      </c>
      <c r="F36" s="75">
        <f t="shared" si="35"/>
        <v>648</v>
      </c>
      <c r="G36" s="75">
        <f t="shared" si="35"/>
        <v>0</v>
      </c>
      <c r="H36" s="76">
        <f t="shared" si="35"/>
        <v>913</v>
      </c>
      <c r="I36" s="74">
        <f t="shared" si="35"/>
        <v>32</v>
      </c>
      <c r="J36" s="75">
        <f t="shared" si="35"/>
        <v>49</v>
      </c>
      <c r="K36" s="75">
        <f t="shared" si="35"/>
        <v>0</v>
      </c>
      <c r="L36" s="76">
        <f t="shared" si="35"/>
        <v>81</v>
      </c>
      <c r="M36" s="74">
        <f t="shared" si="35"/>
        <v>4</v>
      </c>
      <c r="N36" s="76">
        <f t="shared" si="35"/>
        <v>1</v>
      </c>
      <c r="O36" s="74">
        <f t="shared" si="35"/>
        <v>5</v>
      </c>
      <c r="P36" s="76">
        <f t="shared" si="35"/>
        <v>2</v>
      </c>
      <c r="Q36" s="77">
        <f t="shared" si="35"/>
        <v>12</v>
      </c>
      <c r="R36" s="73">
        <f t="shared" si="35"/>
        <v>177</v>
      </c>
      <c r="S36" s="73">
        <f t="shared" si="35"/>
        <v>-60</v>
      </c>
      <c r="T36" s="116"/>
      <c r="U36" s="116"/>
      <c r="V36" s="71" t="s">
        <v>13</v>
      </c>
      <c r="W36" s="72" t="s">
        <v>14</v>
      </c>
      <c r="X36" s="73">
        <f t="shared" ref="X36" si="36">SUM(X37:X40)</f>
        <v>68</v>
      </c>
      <c r="Y36" s="73">
        <f t="shared" ref="Y36" si="37">SUM(Y37:Y40)</f>
        <v>66</v>
      </c>
      <c r="Z36" s="73">
        <f t="shared" si="3"/>
        <v>-2</v>
      </c>
      <c r="AA36" s="73">
        <v>1066</v>
      </c>
      <c r="AB36" s="73">
        <f t="shared" si="4"/>
        <v>1006</v>
      </c>
      <c r="AC36" s="73">
        <f t="shared" si="5"/>
        <v>-60</v>
      </c>
      <c r="AD36" s="118">
        <f t="shared" si="1"/>
        <v>-5.6285178236397747E-2</v>
      </c>
      <c r="AE36" s="118">
        <f t="shared" si="9"/>
        <v>0.17594433399602386</v>
      </c>
      <c r="AF36" s="73">
        <f t="shared" ref="AF36" si="38">SUM(AF37:AF40)</f>
        <v>5</v>
      </c>
      <c r="AG36" s="151">
        <f t="shared" si="7"/>
        <v>0.49701789264413521</v>
      </c>
      <c r="AH36" s="151">
        <f t="shared" si="8"/>
        <v>7.575757575757576E-2</v>
      </c>
    </row>
    <row r="37" spans="1:34" ht="15.4" customHeight="1" x14ac:dyDescent="0.25">
      <c r="A37" s="42" t="s">
        <v>79</v>
      </c>
      <c r="B37" s="94"/>
      <c r="C37" s="87">
        <v>18</v>
      </c>
      <c r="D37" s="88">
        <f t="shared" si="33"/>
        <v>324</v>
      </c>
      <c r="E37" s="89">
        <v>99</v>
      </c>
      <c r="F37" s="90">
        <v>198</v>
      </c>
      <c r="G37" s="90">
        <v>0</v>
      </c>
      <c r="H37" s="104">
        <f>SUM(E37:G37)</f>
        <v>297</v>
      </c>
      <c r="I37" s="89">
        <v>16</v>
      </c>
      <c r="J37" s="91">
        <v>9</v>
      </c>
      <c r="K37" s="91">
        <v>0</v>
      </c>
      <c r="L37" s="106">
        <f>SUM(I37:K37)</f>
        <v>25</v>
      </c>
      <c r="M37" s="89">
        <v>1</v>
      </c>
      <c r="N37" s="92">
        <v>0</v>
      </c>
      <c r="O37" s="89">
        <v>0</v>
      </c>
      <c r="P37" s="92">
        <v>1</v>
      </c>
      <c r="Q37" s="108">
        <f>SUM(M37:P37)</f>
        <v>2</v>
      </c>
      <c r="R37" s="87">
        <v>60</v>
      </c>
      <c r="S37" s="88">
        <f>D37-327</f>
        <v>-3</v>
      </c>
      <c r="T37" s="116"/>
      <c r="U37" s="116"/>
      <c r="V37" s="42" t="s">
        <v>79</v>
      </c>
      <c r="W37" s="94"/>
      <c r="X37" s="87">
        <v>18</v>
      </c>
      <c r="Y37" s="87">
        <v>18</v>
      </c>
      <c r="Z37" s="87">
        <f t="shared" si="3"/>
        <v>0</v>
      </c>
      <c r="AA37" s="88">
        <v>327</v>
      </c>
      <c r="AB37" s="88">
        <f t="shared" si="4"/>
        <v>324</v>
      </c>
      <c r="AC37" s="88">
        <f t="shared" si="5"/>
        <v>-3</v>
      </c>
      <c r="AD37" s="123">
        <f t="shared" si="1"/>
        <v>-9.1743119266055051E-3</v>
      </c>
      <c r="AE37" s="140">
        <f t="shared" si="9"/>
        <v>0.18518518518518517</v>
      </c>
      <c r="AF37" s="87">
        <f>COUNTIF('Mannschaftswettb. - Mannschaft'!E:E,'Übersicht Anmeldungen OBL 2021'!A37)</f>
        <v>1</v>
      </c>
      <c r="AG37" s="158">
        <f t="shared" si="7"/>
        <v>0.30864197530864196</v>
      </c>
      <c r="AH37" s="159">
        <f t="shared" si="8"/>
        <v>5.5555555555555552E-2</v>
      </c>
    </row>
    <row r="38" spans="1:34" ht="15.4" customHeight="1" x14ac:dyDescent="0.25">
      <c r="A38" s="14" t="s">
        <v>76</v>
      </c>
      <c r="B38" s="8"/>
      <c r="C38" s="51">
        <v>16</v>
      </c>
      <c r="D38" s="55">
        <f t="shared" si="33"/>
        <v>224</v>
      </c>
      <c r="E38" s="18">
        <v>52</v>
      </c>
      <c r="F38" s="28">
        <v>147</v>
      </c>
      <c r="G38" s="28">
        <v>0</v>
      </c>
      <c r="H38" s="96">
        <f>SUM(E38:G38)</f>
        <v>199</v>
      </c>
      <c r="I38" s="18">
        <v>8</v>
      </c>
      <c r="J38" s="23">
        <v>16</v>
      </c>
      <c r="K38" s="23">
        <v>0</v>
      </c>
      <c r="L38" s="99">
        <f>SUM(I38:K38)</f>
        <v>24</v>
      </c>
      <c r="M38" s="18">
        <v>1</v>
      </c>
      <c r="N38" s="63">
        <v>0</v>
      </c>
      <c r="O38" s="18">
        <v>0</v>
      </c>
      <c r="P38" s="63">
        <v>0</v>
      </c>
      <c r="Q38" s="102">
        <f t="shared" ref="Q38:Q40" si="39">SUM(M38:P38)</f>
        <v>1</v>
      </c>
      <c r="R38" s="51">
        <v>35</v>
      </c>
      <c r="S38" s="55">
        <f>D38-255</f>
        <v>-31</v>
      </c>
      <c r="T38" s="116"/>
      <c r="U38" s="116"/>
      <c r="V38" s="14" t="s">
        <v>76</v>
      </c>
      <c r="W38" s="8"/>
      <c r="X38" s="51">
        <v>18</v>
      </c>
      <c r="Y38" s="51">
        <v>16</v>
      </c>
      <c r="Z38" s="51">
        <f t="shared" si="3"/>
        <v>-2</v>
      </c>
      <c r="AA38" s="55">
        <v>255</v>
      </c>
      <c r="AB38" s="55">
        <f t="shared" si="4"/>
        <v>224</v>
      </c>
      <c r="AC38" s="55">
        <f t="shared" si="5"/>
        <v>-31</v>
      </c>
      <c r="AD38" s="121">
        <f t="shared" si="1"/>
        <v>-0.12156862745098039</v>
      </c>
      <c r="AE38" s="138">
        <f t="shared" si="9"/>
        <v>0.15625</v>
      </c>
      <c r="AF38" s="51">
        <f>COUNTIF('Mannschaftswettb. - Mannschaft'!E:E,'Übersicht Anmeldungen OBL 2021'!A38)</f>
        <v>0</v>
      </c>
      <c r="AG38" s="154">
        <f t="shared" si="7"/>
        <v>0</v>
      </c>
      <c r="AH38" s="156">
        <f t="shared" si="8"/>
        <v>0</v>
      </c>
    </row>
    <row r="39" spans="1:34" ht="15.4" customHeight="1" x14ac:dyDescent="0.25">
      <c r="A39" s="14" t="s">
        <v>77</v>
      </c>
      <c r="B39" s="8"/>
      <c r="C39" s="51">
        <v>8</v>
      </c>
      <c r="D39" s="55">
        <f t="shared" si="33"/>
        <v>164</v>
      </c>
      <c r="E39" s="18">
        <v>52</v>
      </c>
      <c r="F39" s="28">
        <v>100</v>
      </c>
      <c r="G39" s="28">
        <v>0</v>
      </c>
      <c r="H39" s="96">
        <f>SUM(E39:G39)</f>
        <v>152</v>
      </c>
      <c r="I39" s="18">
        <v>4</v>
      </c>
      <c r="J39" s="23">
        <v>8</v>
      </c>
      <c r="K39" s="23">
        <v>0</v>
      </c>
      <c r="L39" s="99">
        <f>SUM(I39:K39)</f>
        <v>12</v>
      </c>
      <c r="M39" s="18">
        <v>0</v>
      </c>
      <c r="N39" s="63">
        <v>0</v>
      </c>
      <c r="O39" s="18">
        <v>0</v>
      </c>
      <c r="P39" s="63">
        <v>0</v>
      </c>
      <c r="Q39" s="102">
        <f t="shared" si="39"/>
        <v>0</v>
      </c>
      <c r="R39" s="51">
        <v>19</v>
      </c>
      <c r="S39" s="56">
        <f>D39-171</f>
        <v>-7</v>
      </c>
      <c r="T39" s="116"/>
      <c r="U39" s="116"/>
      <c r="V39" s="14" t="s">
        <v>77</v>
      </c>
      <c r="W39" s="8"/>
      <c r="X39" s="51">
        <v>8</v>
      </c>
      <c r="Y39" s="51">
        <v>8</v>
      </c>
      <c r="Z39" s="51">
        <f t="shared" si="3"/>
        <v>0</v>
      </c>
      <c r="AA39" s="55">
        <v>171</v>
      </c>
      <c r="AB39" s="55">
        <f t="shared" si="4"/>
        <v>164</v>
      </c>
      <c r="AC39" s="55">
        <f t="shared" si="5"/>
        <v>-7</v>
      </c>
      <c r="AD39" s="121">
        <f t="shared" si="1"/>
        <v>-4.0935672514619881E-2</v>
      </c>
      <c r="AE39" s="138">
        <f t="shared" si="9"/>
        <v>0.11585365853658537</v>
      </c>
      <c r="AF39" s="51">
        <f>COUNTIF('Mannschaftswettb. - Mannschaft'!E:E,'Übersicht Anmeldungen OBL 2021'!A39)</f>
        <v>4</v>
      </c>
      <c r="AG39" s="154">
        <f t="shared" si="7"/>
        <v>2.4390243902439024</v>
      </c>
      <c r="AH39" s="156">
        <f t="shared" si="8"/>
        <v>0.5</v>
      </c>
    </row>
    <row r="40" spans="1:34" ht="15.4" customHeight="1" thickBot="1" x14ac:dyDescent="0.3">
      <c r="A40" s="16" t="s">
        <v>78</v>
      </c>
      <c r="B40" s="11"/>
      <c r="C40" s="53">
        <v>24</v>
      </c>
      <c r="D40" s="93">
        <f t="shared" si="33"/>
        <v>294</v>
      </c>
      <c r="E40" s="21">
        <v>62</v>
      </c>
      <c r="F40" s="31">
        <v>203</v>
      </c>
      <c r="G40" s="31">
        <v>0</v>
      </c>
      <c r="H40" s="105">
        <f>SUM(E40:G40)</f>
        <v>265</v>
      </c>
      <c r="I40" s="21">
        <v>4</v>
      </c>
      <c r="J40" s="24">
        <v>16</v>
      </c>
      <c r="K40" s="24">
        <v>0</v>
      </c>
      <c r="L40" s="107">
        <f>SUM(I40:K40)</f>
        <v>20</v>
      </c>
      <c r="M40" s="21">
        <v>2</v>
      </c>
      <c r="N40" s="65">
        <v>1</v>
      </c>
      <c r="O40" s="21">
        <v>5</v>
      </c>
      <c r="P40" s="65">
        <v>1</v>
      </c>
      <c r="Q40" s="109">
        <f t="shared" si="39"/>
        <v>9</v>
      </c>
      <c r="R40" s="53">
        <v>63</v>
      </c>
      <c r="S40" s="58">
        <f>D40-313</f>
        <v>-19</v>
      </c>
      <c r="T40" s="116"/>
      <c r="U40" s="116"/>
      <c r="V40" s="16" t="s">
        <v>78</v>
      </c>
      <c r="W40" s="11"/>
      <c r="X40" s="53">
        <v>24</v>
      </c>
      <c r="Y40" s="53">
        <v>24</v>
      </c>
      <c r="Z40" s="53">
        <f t="shared" si="3"/>
        <v>0</v>
      </c>
      <c r="AA40" s="93">
        <v>313</v>
      </c>
      <c r="AB40" s="93">
        <f t="shared" si="4"/>
        <v>294</v>
      </c>
      <c r="AC40" s="93">
        <f t="shared" si="5"/>
        <v>-19</v>
      </c>
      <c r="AD40" s="124">
        <f t="shared" si="1"/>
        <v>-6.070287539936102E-2</v>
      </c>
      <c r="AE40" s="141">
        <f t="shared" si="9"/>
        <v>0.21428571428571427</v>
      </c>
      <c r="AF40" s="53">
        <f>COUNTIF('Mannschaftswettb. - Mannschaft'!E:E,'Übersicht Anmeldungen OBL 2021'!A40)</f>
        <v>0</v>
      </c>
      <c r="AG40" s="160">
        <f t="shared" si="7"/>
        <v>0</v>
      </c>
      <c r="AH40" s="161">
        <f t="shared" si="8"/>
        <v>0</v>
      </c>
    </row>
    <row r="41" spans="1:34" ht="16.5" thickBot="1" x14ac:dyDescent="0.3">
      <c r="A41" s="71" t="s">
        <v>15</v>
      </c>
      <c r="B41" s="72" t="s">
        <v>16</v>
      </c>
      <c r="C41" s="73">
        <f t="shared" ref="C41:S41" si="40">SUM(C42:C48)</f>
        <v>163</v>
      </c>
      <c r="D41" s="73">
        <f t="shared" si="40"/>
        <v>2079</v>
      </c>
      <c r="E41" s="74">
        <f t="shared" si="40"/>
        <v>767</v>
      </c>
      <c r="F41" s="75">
        <f t="shared" si="40"/>
        <v>1011</v>
      </c>
      <c r="G41" s="75">
        <f t="shared" si="40"/>
        <v>2</v>
      </c>
      <c r="H41" s="76">
        <f t="shared" si="40"/>
        <v>1780</v>
      </c>
      <c r="I41" s="74">
        <f t="shared" si="40"/>
        <v>102</v>
      </c>
      <c r="J41" s="75">
        <f t="shared" si="40"/>
        <v>115</v>
      </c>
      <c r="K41" s="75">
        <f t="shared" si="40"/>
        <v>0</v>
      </c>
      <c r="L41" s="76">
        <f t="shared" si="40"/>
        <v>217</v>
      </c>
      <c r="M41" s="74">
        <f t="shared" si="40"/>
        <v>33</v>
      </c>
      <c r="N41" s="76">
        <f t="shared" si="40"/>
        <v>1</v>
      </c>
      <c r="O41" s="74">
        <f t="shared" si="40"/>
        <v>36</v>
      </c>
      <c r="P41" s="76">
        <f t="shared" si="40"/>
        <v>12</v>
      </c>
      <c r="Q41" s="77">
        <f t="shared" si="40"/>
        <v>82</v>
      </c>
      <c r="R41" s="73">
        <f t="shared" si="40"/>
        <v>432</v>
      </c>
      <c r="S41" s="73">
        <f t="shared" si="40"/>
        <v>-174</v>
      </c>
      <c r="T41" s="116"/>
      <c r="U41" s="116"/>
      <c r="V41" s="71" t="s">
        <v>15</v>
      </c>
      <c r="W41" s="72" t="s">
        <v>16</v>
      </c>
      <c r="X41" s="127">
        <f t="shared" ref="X41" si="41">SUM(X42:X48)</f>
        <v>170</v>
      </c>
      <c r="Y41" s="127">
        <f t="shared" ref="Y41" si="42">SUM(Y42:Y48)</f>
        <v>163</v>
      </c>
      <c r="Z41" s="127">
        <f t="shared" si="3"/>
        <v>-7</v>
      </c>
      <c r="AA41" s="127">
        <v>2253</v>
      </c>
      <c r="AB41" s="127">
        <f t="shared" si="4"/>
        <v>2079</v>
      </c>
      <c r="AC41" s="127">
        <f t="shared" si="5"/>
        <v>-174</v>
      </c>
      <c r="AD41" s="128">
        <f t="shared" ref="AD41:AD73" si="43">S41/AA41</f>
        <v>-7.7230359520639141E-2</v>
      </c>
      <c r="AE41" s="128">
        <f t="shared" si="9"/>
        <v>0.20779220779220781</v>
      </c>
      <c r="AF41" s="73">
        <f t="shared" ref="AF41" si="44">SUM(AF42:AF48)</f>
        <v>5</v>
      </c>
      <c r="AG41" s="151">
        <f t="shared" si="7"/>
        <v>0.24050024050024052</v>
      </c>
      <c r="AH41" s="151">
        <f t="shared" si="8"/>
        <v>3.0674846625766871E-2</v>
      </c>
    </row>
    <row r="42" spans="1:34" x14ac:dyDescent="0.25">
      <c r="A42" s="13" t="s">
        <v>31</v>
      </c>
      <c r="B42" s="45"/>
      <c r="C42" s="50">
        <v>50</v>
      </c>
      <c r="D42" s="55">
        <f t="shared" ref="D42:D73" si="45">H42+L42+Q42</f>
        <v>649</v>
      </c>
      <c r="E42" s="20">
        <v>219</v>
      </c>
      <c r="F42" s="30">
        <v>342</v>
      </c>
      <c r="G42" s="30">
        <v>1</v>
      </c>
      <c r="H42" s="96">
        <f t="shared" ref="H42:H48" si="46">SUM(E42:G42)</f>
        <v>562</v>
      </c>
      <c r="I42" s="20">
        <v>34</v>
      </c>
      <c r="J42" s="22">
        <v>38</v>
      </c>
      <c r="K42" s="22">
        <v>0</v>
      </c>
      <c r="L42" s="99">
        <f t="shared" ref="L42:L48" si="47">SUM(I42:K42)</f>
        <v>72</v>
      </c>
      <c r="M42" s="20">
        <v>8</v>
      </c>
      <c r="N42" s="61">
        <v>1</v>
      </c>
      <c r="O42" s="20">
        <v>5</v>
      </c>
      <c r="P42" s="61">
        <v>1</v>
      </c>
      <c r="Q42" s="102">
        <f>SUM(M42:P42)</f>
        <v>15</v>
      </c>
      <c r="R42" s="50">
        <v>132</v>
      </c>
      <c r="S42" s="55">
        <f>D42-731</f>
        <v>-82</v>
      </c>
      <c r="T42" s="116"/>
      <c r="U42" s="116"/>
      <c r="V42" s="13" t="s">
        <v>31</v>
      </c>
      <c r="W42" s="9"/>
      <c r="X42" s="50">
        <v>53</v>
      </c>
      <c r="Y42" s="50">
        <v>50</v>
      </c>
      <c r="Z42" s="50">
        <f t="shared" si="3"/>
        <v>-3</v>
      </c>
      <c r="AA42" s="55">
        <v>731</v>
      </c>
      <c r="AB42" s="55">
        <f t="shared" si="4"/>
        <v>649</v>
      </c>
      <c r="AC42" s="55">
        <f t="shared" si="5"/>
        <v>-82</v>
      </c>
      <c r="AD42" s="120">
        <f t="shared" si="43"/>
        <v>-0.11217510259917921</v>
      </c>
      <c r="AE42" s="137">
        <f t="shared" si="9"/>
        <v>0.20338983050847459</v>
      </c>
      <c r="AF42" s="50">
        <f>COUNTIF('Mannschaftswettb. - Mannschaft'!E:E,'Übersicht Anmeldungen OBL 2021'!A42)</f>
        <v>3</v>
      </c>
      <c r="AG42" s="154">
        <f t="shared" si="7"/>
        <v>0.46224961479198773</v>
      </c>
      <c r="AH42" s="155">
        <f t="shared" si="8"/>
        <v>0.06</v>
      </c>
    </row>
    <row r="43" spans="1:34" x14ac:dyDescent="0.25">
      <c r="A43" s="14" t="s">
        <v>32</v>
      </c>
      <c r="B43" s="46"/>
      <c r="C43" s="51">
        <v>20</v>
      </c>
      <c r="D43" s="55">
        <f t="shared" si="45"/>
        <v>220</v>
      </c>
      <c r="E43" s="18">
        <v>84</v>
      </c>
      <c r="F43" s="28">
        <v>119</v>
      </c>
      <c r="G43" s="28">
        <v>0</v>
      </c>
      <c r="H43" s="96">
        <f t="shared" si="46"/>
        <v>203</v>
      </c>
      <c r="I43" s="18">
        <v>6</v>
      </c>
      <c r="J43" s="23">
        <v>10</v>
      </c>
      <c r="K43" s="23">
        <v>0</v>
      </c>
      <c r="L43" s="99">
        <f t="shared" si="47"/>
        <v>16</v>
      </c>
      <c r="M43" s="18">
        <v>1</v>
      </c>
      <c r="N43" s="63">
        <v>0</v>
      </c>
      <c r="O43" s="18">
        <v>0</v>
      </c>
      <c r="P43" s="63">
        <v>0</v>
      </c>
      <c r="Q43" s="102">
        <f t="shared" ref="Q43:Q48" si="48">SUM(M43:P43)</f>
        <v>1</v>
      </c>
      <c r="R43" s="51">
        <v>57</v>
      </c>
      <c r="S43" s="56">
        <f>D43-229</f>
        <v>-9</v>
      </c>
      <c r="T43" s="116"/>
      <c r="U43" s="116"/>
      <c r="V43" s="14" t="s">
        <v>32</v>
      </c>
      <c r="W43" s="8"/>
      <c r="X43" s="51">
        <v>20</v>
      </c>
      <c r="Y43" s="51">
        <v>20</v>
      </c>
      <c r="Z43" s="51">
        <f t="shared" si="3"/>
        <v>0</v>
      </c>
      <c r="AA43" s="55">
        <v>229</v>
      </c>
      <c r="AB43" s="55">
        <f t="shared" si="4"/>
        <v>220</v>
      </c>
      <c r="AC43" s="55">
        <f t="shared" si="5"/>
        <v>-9</v>
      </c>
      <c r="AD43" s="121">
        <f t="shared" si="43"/>
        <v>-3.9301310043668124E-2</v>
      </c>
      <c r="AE43" s="138">
        <f t="shared" si="9"/>
        <v>0.25909090909090909</v>
      </c>
      <c r="AF43" s="51">
        <f>COUNTIF('Mannschaftswettb. - Mannschaft'!E:E,'Übersicht Anmeldungen OBL 2021'!A43)</f>
        <v>0</v>
      </c>
      <c r="AG43" s="154">
        <f t="shared" si="7"/>
        <v>0</v>
      </c>
      <c r="AH43" s="156">
        <f t="shared" si="8"/>
        <v>0</v>
      </c>
    </row>
    <row r="44" spans="1:34" x14ac:dyDescent="0.25">
      <c r="A44" s="14" t="s">
        <v>33</v>
      </c>
      <c r="B44" s="46"/>
      <c r="C44" s="51">
        <v>22</v>
      </c>
      <c r="D44" s="55">
        <f t="shared" si="45"/>
        <v>225</v>
      </c>
      <c r="E44" s="18">
        <v>97</v>
      </c>
      <c r="F44" s="28">
        <v>101</v>
      </c>
      <c r="G44" s="28">
        <v>0</v>
      </c>
      <c r="H44" s="96">
        <f t="shared" si="46"/>
        <v>198</v>
      </c>
      <c r="I44" s="18">
        <v>16</v>
      </c>
      <c r="J44" s="23">
        <v>9</v>
      </c>
      <c r="K44" s="23">
        <v>0</v>
      </c>
      <c r="L44" s="99">
        <f t="shared" si="47"/>
        <v>25</v>
      </c>
      <c r="M44" s="18">
        <v>1</v>
      </c>
      <c r="N44" s="63">
        <v>0</v>
      </c>
      <c r="O44" s="18">
        <v>0</v>
      </c>
      <c r="P44" s="63">
        <v>1</v>
      </c>
      <c r="Q44" s="102">
        <f t="shared" si="48"/>
        <v>2</v>
      </c>
      <c r="R44" s="51">
        <v>49</v>
      </c>
      <c r="S44" s="56">
        <f>D44-260</f>
        <v>-35</v>
      </c>
      <c r="T44" s="116"/>
      <c r="U44" s="116"/>
      <c r="V44" s="14" t="s">
        <v>33</v>
      </c>
      <c r="W44" s="8"/>
      <c r="X44" s="51">
        <v>23</v>
      </c>
      <c r="Y44" s="51">
        <v>22</v>
      </c>
      <c r="Z44" s="51">
        <f t="shared" si="3"/>
        <v>-1</v>
      </c>
      <c r="AA44" s="55">
        <v>260</v>
      </c>
      <c r="AB44" s="55">
        <f t="shared" si="4"/>
        <v>225</v>
      </c>
      <c r="AC44" s="55">
        <f t="shared" si="5"/>
        <v>-35</v>
      </c>
      <c r="AD44" s="121">
        <f t="shared" si="43"/>
        <v>-0.13461538461538461</v>
      </c>
      <c r="AE44" s="138">
        <f t="shared" si="9"/>
        <v>0.21777777777777776</v>
      </c>
      <c r="AF44" s="51">
        <f>COUNTIF('Mannschaftswettb. - Mannschaft'!E:E,'Übersicht Anmeldungen OBL 2021'!A44)</f>
        <v>0</v>
      </c>
      <c r="AG44" s="154">
        <f t="shared" si="7"/>
        <v>0</v>
      </c>
      <c r="AH44" s="156">
        <f t="shared" si="8"/>
        <v>0</v>
      </c>
    </row>
    <row r="45" spans="1:34" x14ac:dyDescent="0.25">
      <c r="A45" s="14" t="s">
        <v>34</v>
      </c>
      <c r="B45" s="46"/>
      <c r="C45" s="51">
        <v>17</v>
      </c>
      <c r="D45" s="55">
        <f t="shared" si="45"/>
        <v>284</v>
      </c>
      <c r="E45" s="18">
        <v>154</v>
      </c>
      <c r="F45" s="28">
        <v>48</v>
      </c>
      <c r="G45" s="28">
        <v>0</v>
      </c>
      <c r="H45" s="96">
        <f t="shared" si="46"/>
        <v>202</v>
      </c>
      <c r="I45" s="18">
        <v>16</v>
      </c>
      <c r="J45" s="23">
        <v>7</v>
      </c>
      <c r="K45" s="23">
        <v>0</v>
      </c>
      <c r="L45" s="99">
        <f t="shared" si="47"/>
        <v>23</v>
      </c>
      <c r="M45" s="18">
        <v>21</v>
      </c>
      <c r="N45" s="63">
        <v>0</v>
      </c>
      <c r="O45" s="18">
        <v>28</v>
      </c>
      <c r="P45" s="63">
        <v>10</v>
      </c>
      <c r="Q45" s="102">
        <f t="shared" si="48"/>
        <v>59</v>
      </c>
      <c r="R45" s="51">
        <v>60</v>
      </c>
      <c r="S45" s="56">
        <f>D45-294</f>
        <v>-10</v>
      </c>
      <c r="T45" s="116"/>
      <c r="U45" s="116"/>
      <c r="V45" s="14" t="s">
        <v>34</v>
      </c>
      <c r="W45" s="8"/>
      <c r="X45" s="51">
        <v>18</v>
      </c>
      <c r="Y45" s="51">
        <v>17</v>
      </c>
      <c r="Z45" s="51">
        <f t="shared" si="3"/>
        <v>-1</v>
      </c>
      <c r="AA45" s="55">
        <v>294</v>
      </c>
      <c r="AB45" s="55">
        <f t="shared" si="4"/>
        <v>284</v>
      </c>
      <c r="AC45" s="55">
        <f t="shared" si="5"/>
        <v>-10</v>
      </c>
      <c r="AD45" s="121">
        <f t="shared" si="43"/>
        <v>-3.4013605442176874E-2</v>
      </c>
      <c r="AE45" s="138">
        <f t="shared" si="9"/>
        <v>0.21126760563380281</v>
      </c>
      <c r="AF45" s="51">
        <f>COUNTIF('Mannschaftswettb. - Mannschaft'!E:E,'Übersicht Anmeldungen OBL 2021'!A45)</f>
        <v>0</v>
      </c>
      <c r="AG45" s="154">
        <f t="shared" si="7"/>
        <v>0</v>
      </c>
      <c r="AH45" s="156">
        <f t="shared" si="8"/>
        <v>0</v>
      </c>
    </row>
    <row r="46" spans="1:34" x14ac:dyDescent="0.25">
      <c r="A46" s="14" t="s">
        <v>35</v>
      </c>
      <c r="B46" s="46"/>
      <c r="C46" s="51">
        <v>20</v>
      </c>
      <c r="D46" s="55">
        <f t="shared" si="45"/>
        <v>262</v>
      </c>
      <c r="E46" s="18">
        <v>84</v>
      </c>
      <c r="F46" s="28">
        <v>143</v>
      </c>
      <c r="G46" s="28">
        <v>0</v>
      </c>
      <c r="H46" s="96">
        <f t="shared" si="46"/>
        <v>227</v>
      </c>
      <c r="I46" s="18">
        <v>13</v>
      </c>
      <c r="J46" s="23">
        <v>19</v>
      </c>
      <c r="K46" s="23">
        <v>0</v>
      </c>
      <c r="L46" s="99">
        <f t="shared" si="47"/>
        <v>32</v>
      </c>
      <c r="M46" s="18">
        <v>0</v>
      </c>
      <c r="N46" s="63">
        <v>0</v>
      </c>
      <c r="O46" s="18">
        <v>3</v>
      </c>
      <c r="P46" s="63">
        <v>0</v>
      </c>
      <c r="Q46" s="102">
        <f t="shared" si="48"/>
        <v>3</v>
      </c>
      <c r="R46" s="51">
        <v>60</v>
      </c>
      <c r="S46" s="56">
        <f>D46-274</f>
        <v>-12</v>
      </c>
      <c r="T46" s="116"/>
      <c r="U46" s="116"/>
      <c r="V46" s="14" t="s">
        <v>35</v>
      </c>
      <c r="W46" s="8"/>
      <c r="X46" s="51">
        <v>21</v>
      </c>
      <c r="Y46" s="51">
        <v>20</v>
      </c>
      <c r="Z46" s="51">
        <f t="shared" si="3"/>
        <v>-1</v>
      </c>
      <c r="AA46" s="55">
        <v>274</v>
      </c>
      <c r="AB46" s="55">
        <f t="shared" si="4"/>
        <v>262</v>
      </c>
      <c r="AC46" s="55">
        <f t="shared" si="5"/>
        <v>-12</v>
      </c>
      <c r="AD46" s="121">
        <f t="shared" si="43"/>
        <v>-4.3795620437956206E-2</v>
      </c>
      <c r="AE46" s="138">
        <f t="shared" si="9"/>
        <v>0.22900763358778625</v>
      </c>
      <c r="AF46" s="51">
        <f>COUNTIF('Mannschaftswettb. - Mannschaft'!E:E,'Übersicht Anmeldungen OBL 2021'!A46)</f>
        <v>2</v>
      </c>
      <c r="AG46" s="154">
        <f t="shared" si="7"/>
        <v>0.76335877862595414</v>
      </c>
      <c r="AH46" s="156">
        <f t="shared" si="8"/>
        <v>0.1</v>
      </c>
    </row>
    <row r="47" spans="1:34" x14ac:dyDescent="0.25">
      <c r="A47" s="14" t="s">
        <v>36</v>
      </c>
      <c r="B47" s="46"/>
      <c r="C47" s="51">
        <v>20</v>
      </c>
      <c r="D47" s="55">
        <f t="shared" si="45"/>
        <v>292</v>
      </c>
      <c r="E47" s="18">
        <v>84</v>
      </c>
      <c r="F47" s="28">
        <v>171</v>
      </c>
      <c r="G47" s="28">
        <v>1</v>
      </c>
      <c r="H47" s="96">
        <f t="shared" si="46"/>
        <v>256</v>
      </c>
      <c r="I47" s="18">
        <v>14</v>
      </c>
      <c r="J47" s="23">
        <v>20</v>
      </c>
      <c r="K47" s="23">
        <v>0</v>
      </c>
      <c r="L47" s="99">
        <f t="shared" si="47"/>
        <v>34</v>
      </c>
      <c r="M47" s="18">
        <v>2</v>
      </c>
      <c r="N47" s="63">
        <v>0</v>
      </c>
      <c r="O47" s="18">
        <v>0</v>
      </c>
      <c r="P47" s="63">
        <v>0</v>
      </c>
      <c r="Q47" s="102">
        <f t="shared" si="48"/>
        <v>2</v>
      </c>
      <c r="R47" s="51">
        <v>39</v>
      </c>
      <c r="S47" s="56">
        <f>D47-313</f>
        <v>-21</v>
      </c>
      <c r="T47" s="116"/>
      <c r="U47" s="116"/>
      <c r="V47" s="14" t="s">
        <v>36</v>
      </c>
      <c r="W47" s="8"/>
      <c r="X47" s="51">
        <v>21</v>
      </c>
      <c r="Y47" s="51">
        <v>20</v>
      </c>
      <c r="Z47" s="51">
        <f t="shared" si="3"/>
        <v>-1</v>
      </c>
      <c r="AA47" s="55">
        <v>313</v>
      </c>
      <c r="AB47" s="55">
        <f t="shared" si="4"/>
        <v>292</v>
      </c>
      <c r="AC47" s="55">
        <f t="shared" si="5"/>
        <v>-21</v>
      </c>
      <c r="AD47" s="121">
        <f t="shared" si="43"/>
        <v>-6.7092651757188496E-2</v>
      </c>
      <c r="AE47" s="138">
        <f t="shared" si="9"/>
        <v>0.13356164383561644</v>
      </c>
      <c r="AF47" s="51">
        <f>COUNTIF('Mannschaftswettb. - Mannschaft'!E:E,'Übersicht Anmeldungen OBL 2021'!A47)</f>
        <v>0</v>
      </c>
      <c r="AG47" s="154">
        <f t="shared" si="7"/>
        <v>0</v>
      </c>
      <c r="AH47" s="156">
        <f t="shared" si="8"/>
        <v>0</v>
      </c>
    </row>
    <row r="48" spans="1:34" ht="16.5" thickBot="1" x14ac:dyDescent="0.3">
      <c r="A48" s="15" t="s">
        <v>37</v>
      </c>
      <c r="B48" s="47"/>
      <c r="C48" s="52">
        <v>14</v>
      </c>
      <c r="D48" s="55">
        <f t="shared" si="45"/>
        <v>147</v>
      </c>
      <c r="E48" s="19">
        <v>45</v>
      </c>
      <c r="F48" s="29">
        <v>87</v>
      </c>
      <c r="G48" s="29">
        <v>0</v>
      </c>
      <c r="H48" s="97">
        <f t="shared" si="46"/>
        <v>132</v>
      </c>
      <c r="I48" s="19">
        <v>3</v>
      </c>
      <c r="J48" s="25">
        <v>12</v>
      </c>
      <c r="K48" s="25">
        <v>0</v>
      </c>
      <c r="L48" s="100">
        <f t="shared" si="47"/>
        <v>15</v>
      </c>
      <c r="M48" s="19">
        <v>0</v>
      </c>
      <c r="N48" s="64">
        <v>0</v>
      </c>
      <c r="O48" s="19">
        <v>0</v>
      </c>
      <c r="P48" s="64">
        <v>0</v>
      </c>
      <c r="Q48" s="112">
        <f t="shared" si="48"/>
        <v>0</v>
      </c>
      <c r="R48" s="52">
        <v>35</v>
      </c>
      <c r="S48" s="57">
        <f>D48-152</f>
        <v>-5</v>
      </c>
      <c r="T48" s="116"/>
      <c r="U48" s="116"/>
      <c r="V48" s="15" t="s">
        <v>37</v>
      </c>
      <c r="W48" s="10"/>
      <c r="X48" s="52">
        <v>14</v>
      </c>
      <c r="Y48" s="52">
        <v>14</v>
      </c>
      <c r="Z48" s="52">
        <f t="shared" si="3"/>
        <v>0</v>
      </c>
      <c r="AA48" s="55">
        <v>152</v>
      </c>
      <c r="AB48" s="55">
        <f t="shared" si="4"/>
        <v>147</v>
      </c>
      <c r="AC48" s="55">
        <f t="shared" si="5"/>
        <v>-5</v>
      </c>
      <c r="AD48" s="122">
        <f t="shared" si="43"/>
        <v>-3.2894736842105261E-2</v>
      </c>
      <c r="AE48" s="139">
        <f t="shared" si="9"/>
        <v>0.23809523809523808</v>
      </c>
      <c r="AF48" s="52">
        <f>COUNTIF('Mannschaftswettb. - Mannschaft'!E:E,'Übersicht Anmeldungen OBL 2021'!A48)</f>
        <v>0</v>
      </c>
      <c r="AG48" s="154">
        <f t="shared" si="7"/>
        <v>0</v>
      </c>
      <c r="AH48" s="157">
        <f t="shared" si="8"/>
        <v>0</v>
      </c>
    </row>
    <row r="49" spans="1:34" ht="16.5" thickBot="1" x14ac:dyDescent="0.3">
      <c r="A49" s="71" t="s">
        <v>17</v>
      </c>
      <c r="B49" s="72" t="s">
        <v>18</v>
      </c>
      <c r="C49" s="73">
        <f>SUM(C50:C57)</f>
        <v>110</v>
      </c>
      <c r="D49" s="73">
        <f t="shared" ref="D49:R49" si="49">SUM(D50:D57)</f>
        <v>1449</v>
      </c>
      <c r="E49" s="74">
        <f t="shared" si="49"/>
        <v>313</v>
      </c>
      <c r="F49" s="75">
        <f t="shared" si="49"/>
        <v>928</v>
      </c>
      <c r="G49" s="75">
        <f t="shared" si="49"/>
        <v>0</v>
      </c>
      <c r="H49" s="76">
        <f t="shared" si="49"/>
        <v>1241</v>
      </c>
      <c r="I49" s="74">
        <f t="shared" si="49"/>
        <v>61</v>
      </c>
      <c r="J49" s="75">
        <f t="shared" si="49"/>
        <v>119</v>
      </c>
      <c r="K49" s="75">
        <f t="shared" si="49"/>
        <v>3</v>
      </c>
      <c r="L49" s="76">
        <f t="shared" si="49"/>
        <v>183</v>
      </c>
      <c r="M49" s="74">
        <f t="shared" si="49"/>
        <v>2</v>
      </c>
      <c r="N49" s="76">
        <f t="shared" si="49"/>
        <v>1</v>
      </c>
      <c r="O49" s="74">
        <f t="shared" si="49"/>
        <v>14</v>
      </c>
      <c r="P49" s="76">
        <f t="shared" si="49"/>
        <v>8</v>
      </c>
      <c r="Q49" s="77">
        <f t="shared" si="49"/>
        <v>25</v>
      </c>
      <c r="R49" s="73">
        <f t="shared" si="49"/>
        <v>138</v>
      </c>
      <c r="S49" s="73">
        <f>SUM(S50:S57)</f>
        <v>-180</v>
      </c>
      <c r="T49" s="116"/>
      <c r="U49" s="116"/>
      <c r="V49" s="71" t="s">
        <v>17</v>
      </c>
      <c r="W49" s="72" t="s">
        <v>18</v>
      </c>
      <c r="X49" s="73">
        <f>SUM(X50:X57)</f>
        <v>115</v>
      </c>
      <c r="Y49" s="73">
        <f>SUM(Y50:Y57)</f>
        <v>110</v>
      </c>
      <c r="Z49" s="73">
        <f t="shared" si="3"/>
        <v>-5</v>
      </c>
      <c r="AA49" s="73">
        <v>1629</v>
      </c>
      <c r="AB49" s="73">
        <f t="shared" si="4"/>
        <v>1449</v>
      </c>
      <c r="AC49" s="73">
        <f t="shared" si="5"/>
        <v>-180</v>
      </c>
      <c r="AD49" s="118">
        <f t="shared" si="43"/>
        <v>-0.11049723756906077</v>
      </c>
      <c r="AE49" s="118">
        <f t="shared" si="9"/>
        <v>9.5238095238095233E-2</v>
      </c>
      <c r="AF49" s="73">
        <f t="shared" ref="AF49" si="50">SUM(AF50:AF57)</f>
        <v>2</v>
      </c>
      <c r="AG49" s="151">
        <f t="shared" si="7"/>
        <v>0.13802622498274672</v>
      </c>
      <c r="AH49" s="151">
        <f t="shared" si="8"/>
        <v>1.8181818181818181E-2</v>
      </c>
    </row>
    <row r="50" spans="1:34" x14ac:dyDescent="0.25">
      <c r="A50" s="13" t="s">
        <v>38</v>
      </c>
      <c r="B50" s="45"/>
      <c r="C50" s="50">
        <v>21</v>
      </c>
      <c r="D50" s="55">
        <f t="shared" si="45"/>
        <v>259</v>
      </c>
      <c r="E50" s="20">
        <v>48</v>
      </c>
      <c r="F50" s="30">
        <v>175</v>
      </c>
      <c r="G50" s="30">
        <v>0</v>
      </c>
      <c r="H50" s="96">
        <f t="shared" ref="H50:H57" si="51">SUM(E50:G50)</f>
        <v>223</v>
      </c>
      <c r="I50" s="20">
        <v>11</v>
      </c>
      <c r="J50" s="22">
        <v>23</v>
      </c>
      <c r="K50" s="22">
        <v>1</v>
      </c>
      <c r="L50" s="99">
        <f t="shared" ref="L50:L57" si="52">SUM(I50:K50)</f>
        <v>35</v>
      </c>
      <c r="M50" s="20">
        <v>1</v>
      </c>
      <c r="N50" s="61">
        <v>0</v>
      </c>
      <c r="O50" s="20">
        <v>0</v>
      </c>
      <c r="P50" s="61">
        <v>0</v>
      </c>
      <c r="Q50" s="102">
        <f>SUM(M50:P50)</f>
        <v>1</v>
      </c>
      <c r="R50" s="50">
        <v>29</v>
      </c>
      <c r="S50" s="55">
        <f>D50-295</f>
        <v>-36</v>
      </c>
      <c r="T50" s="116"/>
      <c r="U50" s="116"/>
      <c r="V50" s="13" t="s">
        <v>38</v>
      </c>
      <c r="W50" s="9"/>
      <c r="X50" s="50">
        <v>21</v>
      </c>
      <c r="Y50" s="50">
        <v>21</v>
      </c>
      <c r="Z50" s="50">
        <f t="shared" si="3"/>
        <v>0</v>
      </c>
      <c r="AA50" s="55">
        <v>295</v>
      </c>
      <c r="AB50" s="55">
        <f t="shared" si="4"/>
        <v>259</v>
      </c>
      <c r="AC50" s="55">
        <f t="shared" si="5"/>
        <v>-36</v>
      </c>
      <c r="AD50" s="120">
        <f t="shared" si="43"/>
        <v>-0.12203389830508475</v>
      </c>
      <c r="AE50" s="137">
        <f t="shared" si="9"/>
        <v>0.11196911196911197</v>
      </c>
      <c r="AF50" s="50">
        <f>COUNTIF('Mannschaftswettb. - Mannschaft'!E:E,'Übersicht Anmeldungen OBL 2021'!A50)</f>
        <v>0</v>
      </c>
      <c r="AG50" s="154">
        <f t="shared" si="7"/>
        <v>0</v>
      </c>
      <c r="AH50" s="155">
        <f t="shared" si="8"/>
        <v>0</v>
      </c>
    </row>
    <row r="51" spans="1:34" x14ac:dyDescent="0.25">
      <c r="A51" s="14" t="s">
        <v>40</v>
      </c>
      <c r="B51" s="46"/>
      <c r="C51" s="51">
        <v>4</v>
      </c>
      <c r="D51" s="55">
        <f t="shared" si="45"/>
        <v>73</v>
      </c>
      <c r="E51" s="18">
        <v>12</v>
      </c>
      <c r="F51" s="28">
        <v>46</v>
      </c>
      <c r="G51" s="28">
        <v>0</v>
      </c>
      <c r="H51" s="96">
        <f t="shared" si="51"/>
        <v>58</v>
      </c>
      <c r="I51" s="18">
        <v>0</v>
      </c>
      <c r="J51" s="23">
        <v>7</v>
      </c>
      <c r="K51" s="23">
        <v>0</v>
      </c>
      <c r="L51" s="99">
        <f t="shared" si="52"/>
        <v>7</v>
      </c>
      <c r="M51" s="18">
        <v>0</v>
      </c>
      <c r="N51" s="63">
        <v>1</v>
      </c>
      <c r="O51" s="18">
        <v>5</v>
      </c>
      <c r="P51" s="63">
        <v>2</v>
      </c>
      <c r="Q51" s="102">
        <f t="shared" ref="Q51:Q57" si="53">SUM(M51:P51)</f>
        <v>8</v>
      </c>
      <c r="R51" s="51">
        <v>2</v>
      </c>
      <c r="S51" s="56">
        <f>D51-76</f>
        <v>-3</v>
      </c>
      <c r="T51" s="116"/>
      <c r="U51" s="116"/>
      <c r="V51" s="14" t="s">
        <v>40</v>
      </c>
      <c r="W51" s="8"/>
      <c r="X51" s="51">
        <v>4</v>
      </c>
      <c r="Y51" s="51">
        <v>4</v>
      </c>
      <c r="Z51" s="51">
        <f t="shared" si="3"/>
        <v>0</v>
      </c>
      <c r="AA51" s="55">
        <v>76</v>
      </c>
      <c r="AB51" s="55">
        <f t="shared" si="4"/>
        <v>73</v>
      </c>
      <c r="AC51" s="55">
        <f t="shared" si="5"/>
        <v>-3</v>
      </c>
      <c r="AD51" s="121">
        <f t="shared" si="43"/>
        <v>-3.9473684210526314E-2</v>
      </c>
      <c r="AE51" s="138">
        <f t="shared" si="9"/>
        <v>2.7397260273972601E-2</v>
      </c>
      <c r="AF51" s="51">
        <f>COUNTIF('Mannschaftswettb. - Mannschaft'!E:E,'Übersicht Anmeldungen OBL 2021'!A51)</f>
        <v>0</v>
      </c>
      <c r="AG51" s="154">
        <f t="shared" si="7"/>
        <v>0</v>
      </c>
      <c r="AH51" s="156">
        <f t="shared" si="8"/>
        <v>0</v>
      </c>
    </row>
    <row r="52" spans="1:34" x14ac:dyDescent="0.25">
      <c r="A52" s="14" t="s">
        <v>43</v>
      </c>
      <c r="B52" s="46"/>
      <c r="C52" s="51">
        <v>17</v>
      </c>
      <c r="D52" s="55">
        <f t="shared" si="45"/>
        <v>246</v>
      </c>
      <c r="E52" s="18">
        <v>55</v>
      </c>
      <c r="F52" s="28">
        <v>157</v>
      </c>
      <c r="G52" s="28">
        <v>0</v>
      </c>
      <c r="H52" s="96">
        <f t="shared" si="51"/>
        <v>212</v>
      </c>
      <c r="I52" s="18">
        <v>10</v>
      </c>
      <c r="J52" s="23">
        <v>22</v>
      </c>
      <c r="K52" s="23">
        <v>0</v>
      </c>
      <c r="L52" s="99">
        <f t="shared" si="52"/>
        <v>32</v>
      </c>
      <c r="M52" s="18">
        <v>1</v>
      </c>
      <c r="N52" s="63">
        <v>0</v>
      </c>
      <c r="O52" s="18">
        <v>0</v>
      </c>
      <c r="P52" s="63">
        <v>1</v>
      </c>
      <c r="Q52" s="102">
        <f t="shared" si="53"/>
        <v>2</v>
      </c>
      <c r="R52" s="51">
        <v>16</v>
      </c>
      <c r="S52" s="56">
        <f>D52-265</f>
        <v>-19</v>
      </c>
      <c r="T52" s="116"/>
      <c r="U52" s="116"/>
      <c r="V52" s="14" t="s">
        <v>43</v>
      </c>
      <c r="W52" s="8"/>
      <c r="X52" s="51">
        <v>17</v>
      </c>
      <c r="Y52" s="51">
        <v>17</v>
      </c>
      <c r="Z52" s="51">
        <f t="shared" si="3"/>
        <v>0</v>
      </c>
      <c r="AA52" s="55">
        <v>265</v>
      </c>
      <c r="AB52" s="55">
        <f t="shared" si="4"/>
        <v>246</v>
      </c>
      <c r="AC52" s="55">
        <f t="shared" si="5"/>
        <v>-19</v>
      </c>
      <c r="AD52" s="121">
        <f t="shared" si="43"/>
        <v>-7.1698113207547168E-2</v>
      </c>
      <c r="AE52" s="138">
        <f t="shared" si="9"/>
        <v>6.5040650406504072E-2</v>
      </c>
      <c r="AF52" s="51">
        <f>COUNTIF('Mannschaftswettb. - Mannschaft'!E:E,'Übersicht Anmeldungen OBL 2021'!A52)</f>
        <v>2</v>
      </c>
      <c r="AG52" s="154">
        <f t="shared" si="7"/>
        <v>0.81300813008130091</v>
      </c>
      <c r="AH52" s="156">
        <f t="shared" si="8"/>
        <v>0.11764705882352941</v>
      </c>
    </row>
    <row r="53" spans="1:34" x14ac:dyDescent="0.25">
      <c r="A53" s="14" t="s">
        <v>44</v>
      </c>
      <c r="B53" s="46"/>
      <c r="C53" s="51">
        <v>22</v>
      </c>
      <c r="D53" s="55">
        <f t="shared" si="45"/>
        <v>253</v>
      </c>
      <c r="E53" s="18">
        <v>54</v>
      </c>
      <c r="F53" s="28">
        <v>145</v>
      </c>
      <c r="G53" s="28">
        <v>0</v>
      </c>
      <c r="H53" s="96">
        <f t="shared" si="51"/>
        <v>199</v>
      </c>
      <c r="I53" s="18">
        <v>18</v>
      </c>
      <c r="J53" s="23">
        <v>22</v>
      </c>
      <c r="K53" s="23">
        <v>1</v>
      </c>
      <c r="L53" s="99">
        <f t="shared" si="52"/>
        <v>41</v>
      </c>
      <c r="M53" s="18">
        <v>0</v>
      </c>
      <c r="N53" s="63">
        <v>0</v>
      </c>
      <c r="O53" s="18">
        <v>8</v>
      </c>
      <c r="P53" s="63">
        <v>5</v>
      </c>
      <c r="Q53" s="102">
        <f t="shared" si="53"/>
        <v>13</v>
      </c>
      <c r="R53" s="51">
        <v>33</v>
      </c>
      <c r="S53" s="56">
        <f>D53-332</f>
        <v>-79</v>
      </c>
      <c r="T53" s="116"/>
      <c r="U53" s="116"/>
      <c r="V53" s="14" t="s">
        <v>44</v>
      </c>
      <c r="W53" s="8"/>
      <c r="X53" s="51">
        <v>26</v>
      </c>
      <c r="Y53" s="51">
        <v>22</v>
      </c>
      <c r="Z53" s="51">
        <f t="shared" si="3"/>
        <v>-4</v>
      </c>
      <c r="AA53" s="55">
        <v>332</v>
      </c>
      <c r="AB53" s="55">
        <f t="shared" si="4"/>
        <v>253</v>
      </c>
      <c r="AC53" s="55">
        <f t="shared" si="5"/>
        <v>-79</v>
      </c>
      <c r="AD53" s="121">
        <f t="shared" si="43"/>
        <v>-0.23795180722891565</v>
      </c>
      <c r="AE53" s="138">
        <f t="shared" si="9"/>
        <v>0.13043478260869565</v>
      </c>
      <c r="AF53" s="51">
        <f>COUNTIF('Mannschaftswettb. - Mannschaft'!E:E,'Übersicht Anmeldungen OBL 2021'!A53)</f>
        <v>0</v>
      </c>
      <c r="AG53" s="154">
        <f t="shared" si="7"/>
        <v>0</v>
      </c>
      <c r="AH53" s="156">
        <f t="shared" si="8"/>
        <v>0</v>
      </c>
    </row>
    <row r="54" spans="1:34" x14ac:dyDescent="0.25">
      <c r="A54" s="14" t="s">
        <v>46</v>
      </c>
      <c r="B54" s="46"/>
      <c r="C54" s="51">
        <v>10</v>
      </c>
      <c r="D54" s="55">
        <f t="shared" si="45"/>
        <v>129</v>
      </c>
      <c r="E54" s="18">
        <v>29</v>
      </c>
      <c r="F54" s="28">
        <v>84</v>
      </c>
      <c r="G54" s="28">
        <v>0</v>
      </c>
      <c r="H54" s="96">
        <f t="shared" si="51"/>
        <v>113</v>
      </c>
      <c r="I54" s="18">
        <v>7</v>
      </c>
      <c r="J54" s="23">
        <v>9</v>
      </c>
      <c r="K54" s="23">
        <v>0</v>
      </c>
      <c r="L54" s="99">
        <f t="shared" si="52"/>
        <v>16</v>
      </c>
      <c r="M54" s="18">
        <v>0</v>
      </c>
      <c r="N54" s="63">
        <v>0</v>
      </c>
      <c r="O54" s="18">
        <v>0</v>
      </c>
      <c r="P54" s="63">
        <v>0</v>
      </c>
      <c r="Q54" s="102">
        <f t="shared" si="53"/>
        <v>0</v>
      </c>
      <c r="R54" s="51">
        <v>18</v>
      </c>
      <c r="S54" s="56">
        <f>D54-131</f>
        <v>-2</v>
      </c>
      <c r="T54" s="116"/>
      <c r="U54" s="116"/>
      <c r="V54" s="14" t="s">
        <v>46</v>
      </c>
      <c r="W54" s="8"/>
      <c r="X54" s="51">
        <v>10</v>
      </c>
      <c r="Y54" s="51">
        <v>10</v>
      </c>
      <c r="Z54" s="51">
        <f t="shared" si="3"/>
        <v>0</v>
      </c>
      <c r="AA54" s="55">
        <v>131</v>
      </c>
      <c r="AB54" s="55">
        <f t="shared" si="4"/>
        <v>129</v>
      </c>
      <c r="AC54" s="55">
        <f t="shared" si="5"/>
        <v>-2</v>
      </c>
      <c r="AD54" s="121">
        <f t="shared" si="43"/>
        <v>-1.5267175572519083E-2</v>
      </c>
      <c r="AE54" s="138">
        <f t="shared" si="9"/>
        <v>0.13953488372093023</v>
      </c>
      <c r="AF54" s="51">
        <f>COUNTIF('Mannschaftswettb. - Mannschaft'!E:E,'Übersicht Anmeldungen OBL 2021'!A54)</f>
        <v>0</v>
      </c>
      <c r="AG54" s="154">
        <f t="shared" si="7"/>
        <v>0</v>
      </c>
      <c r="AH54" s="156">
        <f t="shared" si="8"/>
        <v>0</v>
      </c>
    </row>
    <row r="55" spans="1:34" x14ac:dyDescent="0.25">
      <c r="A55" s="14" t="s">
        <v>48</v>
      </c>
      <c r="B55" s="46"/>
      <c r="C55" s="51">
        <v>16</v>
      </c>
      <c r="D55" s="55">
        <f t="shared" si="45"/>
        <v>230</v>
      </c>
      <c r="E55" s="18">
        <v>49</v>
      </c>
      <c r="F55" s="28">
        <v>158</v>
      </c>
      <c r="G55" s="28">
        <v>0</v>
      </c>
      <c r="H55" s="96">
        <f t="shared" si="51"/>
        <v>207</v>
      </c>
      <c r="I55" s="18">
        <v>8</v>
      </c>
      <c r="J55" s="23">
        <v>15</v>
      </c>
      <c r="K55" s="23">
        <v>0</v>
      </c>
      <c r="L55" s="99">
        <f t="shared" si="52"/>
        <v>23</v>
      </c>
      <c r="M55" s="18">
        <v>0</v>
      </c>
      <c r="N55" s="63">
        <v>0</v>
      </c>
      <c r="O55" s="18">
        <v>0</v>
      </c>
      <c r="P55" s="63">
        <v>0</v>
      </c>
      <c r="Q55" s="102">
        <f t="shared" si="53"/>
        <v>0</v>
      </c>
      <c r="R55" s="51">
        <v>8</v>
      </c>
      <c r="S55" s="56">
        <f>D55-257</f>
        <v>-27</v>
      </c>
      <c r="T55" s="116"/>
      <c r="U55" s="116"/>
      <c r="V55" s="14" t="s">
        <v>48</v>
      </c>
      <c r="W55" s="8"/>
      <c r="X55" s="51">
        <v>16</v>
      </c>
      <c r="Y55" s="51">
        <v>16</v>
      </c>
      <c r="Z55" s="51">
        <f t="shared" si="3"/>
        <v>0</v>
      </c>
      <c r="AA55" s="55">
        <v>257</v>
      </c>
      <c r="AB55" s="55">
        <f t="shared" si="4"/>
        <v>230</v>
      </c>
      <c r="AC55" s="55">
        <f t="shared" si="5"/>
        <v>-27</v>
      </c>
      <c r="AD55" s="121">
        <f t="shared" si="43"/>
        <v>-0.10505836575875487</v>
      </c>
      <c r="AE55" s="138">
        <f t="shared" si="9"/>
        <v>3.4782608695652174E-2</v>
      </c>
      <c r="AF55" s="51">
        <f>COUNTIF('Mannschaftswettb. - Mannschaft'!E:E,'Übersicht Anmeldungen OBL 2021'!A55)</f>
        <v>0</v>
      </c>
      <c r="AG55" s="154">
        <f t="shared" si="7"/>
        <v>0</v>
      </c>
      <c r="AH55" s="156">
        <f t="shared" si="8"/>
        <v>0</v>
      </c>
    </row>
    <row r="56" spans="1:34" x14ac:dyDescent="0.25">
      <c r="A56" s="14" t="s">
        <v>50</v>
      </c>
      <c r="B56" s="46"/>
      <c r="C56" s="51">
        <v>14</v>
      </c>
      <c r="D56" s="55">
        <f t="shared" si="45"/>
        <v>187</v>
      </c>
      <c r="E56" s="18">
        <v>47</v>
      </c>
      <c r="F56" s="28">
        <v>120</v>
      </c>
      <c r="G56" s="28">
        <v>0</v>
      </c>
      <c r="H56" s="96">
        <f t="shared" si="51"/>
        <v>167</v>
      </c>
      <c r="I56" s="18">
        <v>3</v>
      </c>
      <c r="J56" s="23">
        <v>16</v>
      </c>
      <c r="K56" s="23">
        <v>0</v>
      </c>
      <c r="L56" s="99">
        <f t="shared" si="52"/>
        <v>19</v>
      </c>
      <c r="M56" s="18">
        <v>0</v>
      </c>
      <c r="N56" s="63">
        <v>0</v>
      </c>
      <c r="O56" s="18">
        <v>1</v>
      </c>
      <c r="P56" s="63">
        <v>0</v>
      </c>
      <c r="Q56" s="102">
        <f t="shared" si="53"/>
        <v>1</v>
      </c>
      <c r="R56" s="51">
        <v>27</v>
      </c>
      <c r="S56" s="56">
        <f>D56-191</f>
        <v>-4</v>
      </c>
      <c r="T56" s="116"/>
      <c r="U56" s="116"/>
      <c r="V56" s="14" t="s">
        <v>50</v>
      </c>
      <c r="W56" s="8"/>
      <c r="X56" s="51">
        <v>14</v>
      </c>
      <c r="Y56" s="51">
        <v>14</v>
      </c>
      <c r="Z56" s="51">
        <f t="shared" si="3"/>
        <v>0</v>
      </c>
      <c r="AA56" s="55">
        <v>191</v>
      </c>
      <c r="AB56" s="55">
        <f t="shared" si="4"/>
        <v>187</v>
      </c>
      <c r="AC56" s="55">
        <f t="shared" si="5"/>
        <v>-4</v>
      </c>
      <c r="AD56" s="121">
        <f t="shared" si="43"/>
        <v>-2.0942408376963352E-2</v>
      </c>
      <c r="AE56" s="138">
        <f t="shared" si="9"/>
        <v>0.14438502673796791</v>
      </c>
      <c r="AF56" s="51">
        <f>COUNTIF('Mannschaftswettb. - Mannschaft'!E:E,'Übersicht Anmeldungen OBL 2021'!A56)</f>
        <v>0</v>
      </c>
      <c r="AG56" s="154">
        <f t="shared" si="7"/>
        <v>0</v>
      </c>
      <c r="AH56" s="156">
        <f t="shared" si="8"/>
        <v>0</v>
      </c>
    </row>
    <row r="57" spans="1:34" ht="16.5" thickBot="1" x14ac:dyDescent="0.3">
      <c r="A57" s="15" t="s">
        <v>52</v>
      </c>
      <c r="B57" s="47"/>
      <c r="C57" s="52">
        <v>6</v>
      </c>
      <c r="D57" s="55">
        <f t="shared" si="45"/>
        <v>72</v>
      </c>
      <c r="E57" s="19">
        <v>19</v>
      </c>
      <c r="F57" s="29">
        <v>43</v>
      </c>
      <c r="G57" s="29">
        <v>0</v>
      </c>
      <c r="H57" s="97">
        <f t="shared" si="51"/>
        <v>62</v>
      </c>
      <c r="I57" s="19">
        <v>4</v>
      </c>
      <c r="J57" s="25">
        <v>5</v>
      </c>
      <c r="K57" s="25">
        <v>1</v>
      </c>
      <c r="L57" s="100">
        <f t="shared" si="52"/>
        <v>10</v>
      </c>
      <c r="M57" s="19">
        <v>0</v>
      </c>
      <c r="N57" s="64">
        <v>0</v>
      </c>
      <c r="O57" s="19">
        <v>0</v>
      </c>
      <c r="P57" s="64">
        <v>0</v>
      </c>
      <c r="Q57" s="102">
        <f t="shared" si="53"/>
        <v>0</v>
      </c>
      <c r="R57" s="52">
        <v>5</v>
      </c>
      <c r="S57" s="57">
        <f>D57-82</f>
        <v>-10</v>
      </c>
      <c r="T57" s="116"/>
      <c r="U57" s="116"/>
      <c r="V57" s="15" t="s">
        <v>52</v>
      </c>
      <c r="W57" s="10"/>
      <c r="X57" s="52">
        <v>7</v>
      </c>
      <c r="Y57" s="52">
        <v>6</v>
      </c>
      <c r="Z57" s="52">
        <f t="shared" si="3"/>
        <v>-1</v>
      </c>
      <c r="AA57" s="55">
        <v>82</v>
      </c>
      <c r="AB57" s="55">
        <f t="shared" si="4"/>
        <v>72</v>
      </c>
      <c r="AC57" s="55">
        <f t="shared" si="5"/>
        <v>-10</v>
      </c>
      <c r="AD57" s="122">
        <f t="shared" si="43"/>
        <v>-0.12195121951219512</v>
      </c>
      <c r="AE57" s="139">
        <f t="shared" si="9"/>
        <v>6.9444444444444448E-2</v>
      </c>
      <c r="AF57" s="52">
        <f>COUNTIF('Mannschaftswettb. - Mannschaft'!E:E,'Übersicht Anmeldungen OBL 2021'!A57)</f>
        <v>0</v>
      </c>
      <c r="AG57" s="154">
        <f t="shared" si="7"/>
        <v>0</v>
      </c>
      <c r="AH57" s="157">
        <f t="shared" si="8"/>
        <v>0</v>
      </c>
    </row>
    <row r="58" spans="1:34" ht="16.5" thickBot="1" x14ac:dyDescent="0.3">
      <c r="A58" s="71" t="s">
        <v>19</v>
      </c>
      <c r="B58" s="72" t="s">
        <v>20</v>
      </c>
      <c r="C58" s="73">
        <f t="shared" ref="C58:S58" si="54">SUM(C59:C62)</f>
        <v>58</v>
      </c>
      <c r="D58" s="73">
        <f t="shared" si="54"/>
        <v>902</v>
      </c>
      <c r="E58" s="74">
        <f t="shared" si="54"/>
        <v>339</v>
      </c>
      <c r="F58" s="75">
        <f t="shared" si="54"/>
        <v>399</v>
      </c>
      <c r="G58" s="75">
        <f t="shared" si="54"/>
        <v>0</v>
      </c>
      <c r="H58" s="76">
        <f t="shared" si="54"/>
        <v>738</v>
      </c>
      <c r="I58" s="74">
        <f t="shared" si="54"/>
        <v>50</v>
      </c>
      <c r="J58" s="75">
        <f t="shared" si="54"/>
        <v>47</v>
      </c>
      <c r="K58" s="75">
        <f t="shared" si="54"/>
        <v>0</v>
      </c>
      <c r="L58" s="76">
        <f t="shared" si="54"/>
        <v>97</v>
      </c>
      <c r="M58" s="74">
        <f t="shared" si="54"/>
        <v>10</v>
      </c>
      <c r="N58" s="76">
        <f t="shared" si="54"/>
        <v>0</v>
      </c>
      <c r="O58" s="74">
        <f t="shared" si="54"/>
        <v>43</v>
      </c>
      <c r="P58" s="76">
        <f t="shared" si="54"/>
        <v>14</v>
      </c>
      <c r="Q58" s="77">
        <f t="shared" si="54"/>
        <v>67</v>
      </c>
      <c r="R58" s="73">
        <f t="shared" si="54"/>
        <v>124</v>
      </c>
      <c r="S58" s="73">
        <f t="shared" si="54"/>
        <v>-82</v>
      </c>
      <c r="T58" s="116"/>
      <c r="U58" s="116"/>
      <c r="V58" s="71" t="s">
        <v>19</v>
      </c>
      <c r="W58" s="72" t="s">
        <v>20</v>
      </c>
      <c r="X58" s="73">
        <f t="shared" ref="X58" si="55">SUM(X59:X62)</f>
        <v>60</v>
      </c>
      <c r="Y58" s="73">
        <f t="shared" ref="Y58" si="56">SUM(Y59:Y62)</f>
        <v>58</v>
      </c>
      <c r="Z58" s="73">
        <f t="shared" si="3"/>
        <v>-2</v>
      </c>
      <c r="AA58" s="73">
        <v>984</v>
      </c>
      <c r="AB58" s="73">
        <f t="shared" si="4"/>
        <v>902</v>
      </c>
      <c r="AC58" s="73">
        <f t="shared" si="5"/>
        <v>-82</v>
      </c>
      <c r="AD58" s="118">
        <f t="shared" si="43"/>
        <v>-8.3333333333333329E-2</v>
      </c>
      <c r="AE58" s="118">
        <f t="shared" si="9"/>
        <v>0.13747228381374724</v>
      </c>
      <c r="AF58" s="73">
        <f t="shared" ref="AF58" si="57">SUM(AF59:AF62)</f>
        <v>0</v>
      </c>
      <c r="AG58" s="151">
        <f t="shared" si="7"/>
        <v>0</v>
      </c>
      <c r="AH58" s="151">
        <f t="shared" si="8"/>
        <v>0</v>
      </c>
    </row>
    <row r="59" spans="1:34" x14ac:dyDescent="0.25">
      <c r="A59" s="13" t="s">
        <v>54</v>
      </c>
      <c r="B59" s="45"/>
      <c r="C59" s="50">
        <v>19</v>
      </c>
      <c r="D59" s="55">
        <f t="shared" si="45"/>
        <v>337</v>
      </c>
      <c r="E59" s="20">
        <v>122</v>
      </c>
      <c r="F59" s="30">
        <v>156</v>
      </c>
      <c r="G59" s="30">
        <v>0</v>
      </c>
      <c r="H59" s="96">
        <f>SUM(E59:G59)</f>
        <v>278</v>
      </c>
      <c r="I59" s="20">
        <v>18</v>
      </c>
      <c r="J59" s="22">
        <v>21</v>
      </c>
      <c r="K59" s="22">
        <v>0</v>
      </c>
      <c r="L59" s="99">
        <f>SUM(I59:K59)</f>
        <v>39</v>
      </c>
      <c r="M59" s="20">
        <v>2</v>
      </c>
      <c r="N59" s="61">
        <v>0</v>
      </c>
      <c r="O59" s="20">
        <v>9</v>
      </c>
      <c r="P59" s="61">
        <v>9</v>
      </c>
      <c r="Q59" s="102">
        <f>SUM(M59:P59)</f>
        <v>20</v>
      </c>
      <c r="R59" s="50">
        <v>32</v>
      </c>
      <c r="S59" s="55">
        <f>D59-364</f>
        <v>-27</v>
      </c>
      <c r="T59" s="116"/>
      <c r="U59" s="116"/>
      <c r="V59" s="13" t="s">
        <v>54</v>
      </c>
      <c r="W59" s="9"/>
      <c r="X59" s="50">
        <v>20</v>
      </c>
      <c r="Y59" s="50">
        <v>19</v>
      </c>
      <c r="Z59" s="50">
        <f t="shared" si="3"/>
        <v>-1</v>
      </c>
      <c r="AA59" s="55">
        <v>364</v>
      </c>
      <c r="AB59" s="55">
        <f t="shared" si="4"/>
        <v>337</v>
      </c>
      <c r="AC59" s="55">
        <f t="shared" si="5"/>
        <v>-27</v>
      </c>
      <c r="AD59" s="120">
        <f t="shared" si="43"/>
        <v>-7.4175824175824176E-2</v>
      </c>
      <c r="AE59" s="137">
        <f t="shared" si="9"/>
        <v>9.4955489614243327E-2</v>
      </c>
      <c r="AF59" s="50">
        <f>COUNTIF('Mannschaftswettb. - Mannschaft'!E:E,'Übersicht Anmeldungen OBL 2021'!A59)</f>
        <v>0</v>
      </c>
      <c r="AG59" s="154">
        <f t="shared" si="7"/>
        <v>0</v>
      </c>
      <c r="AH59" s="155">
        <f t="shared" si="8"/>
        <v>0</v>
      </c>
    </row>
    <row r="60" spans="1:34" x14ac:dyDescent="0.25">
      <c r="A60" s="14" t="s">
        <v>56</v>
      </c>
      <c r="B60" s="46"/>
      <c r="C60" s="51">
        <v>9</v>
      </c>
      <c r="D60" s="55">
        <f t="shared" si="45"/>
        <v>130</v>
      </c>
      <c r="E60" s="18">
        <v>44</v>
      </c>
      <c r="F60" s="28">
        <v>40</v>
      </c>
      <c r="G60" s="28">
        <v>0</v>
      </c>
      <c r="H60" s="96">
        <f>SUM(E60:G60)</f>
        <v>84</v>
      </c>
      <c r="I60" s="18">
        <v>6</v>
      </c>
      <c r="J60" s="23">
        <v>13</v>
      </c>
      <c r="K60" s="23">
        <v>0</v>
      </c>
      <c r="L60" s="99">
        <f>SUM(I60:K60)</f>
        <v>19</v>
      </c>
      <c r="M60" s="18">
        <v>2</v>
      </c>
      <c r="N60" s="63">
        <v>0</v>
      </c>
      <c r="O60" s="18">
        <v>25</v>
      </c>
      <c r="P60" s="63">
        <v>0</v>
      </c>
      <c r="Q60" s="102">
        <f t="shared" ref="Q60:Q62" si="58">SUM(M60:P60)</f>
        <v>27</v>
      </c>
      <c r="R60" s="51">
        <v>18</v>
      </c>
      <c r="S60" s="56">
        <f>D60-153</f>
        <v>-23</v>
      </c>
      <c r="T60" s="116"/>
      <c r="U60" s="116"/>
      <c r="V60" s="14" t="s">
        <v>56</v>
      </c>
      <c r="W60" s="8"/>
      <c r="X60" s="51">
        <v>10</v>
      </c>
      <c r="Y60" s="51">
        <v>9</v>
      </c>
      <c r="Z60" s="51">
        <f t="shared" si="3"/>
        <v>-1</v>
      </c>
      <c r="AA60" s="55">
        <v>153</v>
      </c>
      <c r="AB60" s="55">
        <f t="shared" si="4"/>
        <v>130</v>
      </c>
      <c r="AC60" s="55">
        <f t="shared" si="5"/>
        <v>-23</v>
      </c>
      <c r="AD60" s="121">
        <f t="shared" si="43"/>
        <v>-0.15032679738562091</v>
      </c>
      <c r="AE60" s="138">
        <f t="shared" si="9"/>
        <v>0.13846153846153847</v>
      </c>
      <c r="AF60" s="51">
        <f>COUNTIF('Mannschaftswettb. - Mannschaft'!E:E,'Übersicht Anmeldungen OBL 2021'!A60)</f>
        <v>0</v>
      </c>
      <c r="AG60" s="154">
        <f t="shared" si="7"/>
        <v>0</v>
      </c>
      <c r="AH60" s="156">
        <f t="shared" si="8"/>
        <v>0</v>
      </c>
    </row>
    <row r="61" spans="1:34" x14ac:dyDescent="0.25">
      <c r="A61" s="14" t="s">
        <v>57</v>
      </c>
      <c r="B61" s="46"/>
      <c r="C61" s="51">
        <v>17</v>
      </c>
      <c r="D61" s="55">
        <f t="shared" si="45"/>
        <v>232</v>
      </c>
      <c r="E61" s="18">
        <v>107</v>
      </c>
      <c r="F61" s="28">
        <v>106</v>
      </c>
      <c r="G61" s="28">
        <v>0</v>
      </c>
      <c r="H61" s="96">
        <f>SUM(E61:G61)</f>
        <v>213</v>
      </c>
      <c r="I61" s="18">
        <v>10</v>
      </c>
      <c r="J61" s="23">
        <v>8</v>
      </c>
      <c r="K61" s="23">
        <v>0</v>
      </c>
      <c r="L61" s="99">
        <f>SUM(I61:K61)</f>
        <v>18</v>
      </c>
      <c r="M61" s="18">
        <v>0</v>
      </c>
      <c r="N61" s="63">
        <v>0</v>
      </c>
      <c r="O61" s="18">
        <v>1</v>
      </c>
      <c r="P61" s="63">
        <v>0</v>
      </c>
      <c r="Q61" s="102">
        <f t="shared" si="58"/>
        <v>1</v>
      </c>
      <c r="R61" s="51">
        <v>32</v>
      </c>
      <c r="S61" s="56">
        <f>D61-254</f>
        <v>-22</v>
      </c>
      <c r="T61" s="116"/>
      <c r="U61" s="116"/>
      <c r="V61" s="14" t="s">
        <v>57</v>
      </c>
      <c r="W61" s="8"/>
      <c r="X61" s="51">
        <v>17</v>
      </c>
      <c r="Y61" s="51">
        <v>17</v>
      </c>
      <c r="Z61" s="51">
        <f t="shared" si="3"/>
        <v>0</v>
      </c>
      <c r="AA61" s="55">
        <v>254</v>
      </c>
      <c r="AB61" s="55">
        <f t="shared" si="4"/>
        <v>232</v>
      </c>
      <c r="AC61" s="55">
        <f t="shared" si="5"/>
        <v>-22</v>
      </c>
      <c r="AD61" s="121">
        <f t="shared" si="43"/>
        <v>-8.6614173228346455E-2</v>
      </c>
      <c r="AE61" s="138">
        <f t="shared" si="9"/>
        <v>0.13793103448275862</v>
      </c>
      <c r="AF61" s="51">
        <f>COUNTIF('Mannschaftswettb. - Mannschaft'!E:E,'Übersicht Anmeldungen OBL 2021'!A61)</f>
        <v>0</v>
      </c>
      <c r="AG61" s="154">
        <f t="shared" si="7"/>
        <v>0</v>
      </c>
      <c r="AH61" s="156">
        <f t="shared" si="8"/>
        <v>0</v>
      </c>
    </row>
    <row r="62" spans="1:34" ht="16.5" thickBot="1" x14ac:dyDescent="0.3">
      <c r="A62" s="15" t="s">
        <v>59</v>
      </c>
      <c r="B62" s="47"/>
      <c r="C62" s="52">
        <v>13</v>
      </c>
      <c r="D62" s="55">
        <f t="shared" si="45"/>
        <v>203</v>
      </c>
      <c r="E62" s="19">
        <v>66</v>
      </c>
      <c r="F62" s="29">
        <v>97</v>
      </c>
      <c r="G62" s="29">
        <v>0</v>
      </c>
      <c r="H62" s="97">
        <f>SUM(E62:G62)</f>
        <v>163</v>
      </c>
      <c r="I62" s="19">
        <v>16</v>
      </c>
      <c r="J62" s="25">
        <v>5</v>
      </c>
      <c r="K62" s="25">
        <v>0</v>
      </c>
      <c r="L62" s="100">
        <f>SUM(I62:K62)</f>
        <v>21</v>
      </c>
      <c r="M62" s="19">
        <v>6</v>
      </c>
      <c r="N62" s="64">
        <v>0</v>
      </c>
      <c r="O62" s="19">
        <v>8</v>
      </c>
      <c r="P62" s="64">
        <v>5</v>
      </c>
      <c r="Q62" s="112">
        <f t="shared" si="58"/>
        <v>19</v>
      </c>
      <c r="R62" s="52">
        <v>42</v>
      </c>
      <c r="S62" s="57">
        <f>D62-213</f>
        <v>-10</v>
      </c>
      <c r="T62" s="116"/>
      <c r="U62" s="116"/>
      <c r="V62" s="15" t="s">
        <v>59</v>
      </c>
      <c r="W62" s="10"/>
      <c r="X62" s="52">
        <v>13</v>
      </c>
      <c r="Y62" s="52">
        <v>13</v>
      </c>
      <c r="Z62" s="52">
        <f t="shared" si="3"/>
        <v>0</v>
      </c>
      <c r="AA62" s="55">
        <v>213</v>
      </c>
      <c r="AB62" s="55">
        <f t="shared" si="4"/>
        <v>203</v>
      </c>
      <c r="AC62" s="55">
        <f t="shared" si="5"/>
        <v>-10</v>
      </c>
      <c r="AD62" s="122">
        <f t="shared" si="43"/>
        <v>-4.6948356807511735E-2</v>
      </c>
      <c r="AE62" s="139">
        <f t="shared" si="9"/>
        <v>0.20689655172413793</v>
      </c>
      <c r="AF62" s="52">
        <f>COUNTIF('Mannschaftswettb. - Mannschaft'!E:E,'Übersicht Anmeldungen OBL 2021'!A62)</f>
        <v>0</v>
      </c>
      <c r="AG62" s="154">
        <f t="shared" si="7"/>
        <v>0</v>
      </c>
      <c r="AH62" s="157">
        <f t="shared" si="8"/>
        <v>0</v>
      </c>
    </row>
    <row r="63" spans="1:34" ht="16.5" thickBot="1" x14ac:dyDescent="0.3">
      <c r="A63" s="71" t="s">
        <v>21</v>
      </c>
      <c r="B63" s="72" t="s">
        <v>22</v>
      </c>
      <c r="C63" s="73">
        <f t="shared" ref="C63:S63" si="59">SUM(C64:C64)</f>
        <v>36</v>
      </c>
      <c r="D63" s="73">
        <f>SUM(D64:D64)</f>
        <v>478</v>
      </c>
      <c r="E63" s="74">
        <f t="shared" si="59"/>
        <v>192</v>
      </c>
      <c r="F63" s="75">
        <f t="shared" si="59"/>
        <v>224</v>
      </c>
      <c r="G63" s="75">
        <f t="shared" si="59"/>
        <v>2</v>
      </c>
      <c r="H63" s="76">
        <f t="shared" si="59"/>
        <v>418</v>
      </c>
      <c r="I63" s="74">
        <f t="shared" si="59"/>
        <v>21</v>
      </c>
      <c r="J63" s="75">
        <f t="shared" si="59"/>
        <v>10</v>
      </c>
      <c r="K63" s="75">
        <f t="shared" si="59"/>
        <v>0</v>
      </c>
      <c r="L63" s="76">
        <f t="shared" si="59"/>
        <v>31</v>
      </c>
      <c r="M63" s="74">
        <f t="shared" si="59"/>
        <v>10</v>
      </c>
      <c r="N63" s="76">
        <f t="shared" si="59"/>
        <v>1</v>
      </c>
      <c r="O63" s="74">
        <f t="shared" si="59"/>
        <v>15</v>
      </c>
      <c r="P63" s="76">
        <f t="shared" si="59"/>
        <v>3</v>
      </c>
      <c r="Q63" s="77">
        <f t="shared" si="59"/>
        <v>29</v>
      </c>
      <c r="R63" s="73">
        <f t="shared" si="59"/>
        <v>69</v>
      </c>
      <c r="S63" s="73">
        <f t="shared" si="59"/>
        <v>-59</v>
      </c>
      <c r="T63" s="116"/>
      <c r="U63" s="116"/>
      <c r="V63" s="71" t="s">
        <v>21</v>
      </c>
      <c r="W63" s="72" t="s">
        <v>22</v>
      </c>
      <c r="X63" s="73">
        <f t="shared" ref="X63" si="60">SUM(X64:X64)</f>
        <v>39</v>
      </c>
      <c r="Y63" s="73">
        <f t="shared" ref="Y63" si="61">SUM(Y64:Y64)</f>
        <v>36</v>
      </c>
      <c r="Z63" s="73">
        <f t="shared" si="3"/>
        <v>-3</v>
      </c>
      <c r="AA63" s="73">
        <v>537</v>
      </c>
      <c r="AB63" s="73">
        <f t="shared" si="4"/>
        <v>478</v>
      </c>
      <c r="AC63" s="73">
        <f t="shared" si="5"/>
        <v>-59</v>
      </c>
      <c r="AD63" s="118">
        <f t="shared" si="43"/>
        <v>-0.10986964618249534</v>
      </c>
      <c r="AE63" s="118">
        <f t="shared" si="9"/>
        <v>0.14435146443514643</v>
      </c>
      <c r="AF63" s="73">
        <f>SUM(AF64:AF64)</f>
        <v>4</v>
      </c>
      <c r="AG63" s="151">
        <f t="shared" si="7"/>
        <v>0.83682008368200833</v>
      </c>
      <c r="AH63" s="151">
        <f t="shared" si="8"/>
        <v>0.1111111111111111</v>
      </c>
    </row>
    <row r="64" spans="1:34" ht="16.5" thickBot="1" x14ac:dyDescent="0.3">
      <c r="A64" s="13" t="s">
        <v>98</v>
      </c>
      <c r="B64" s="45"/>
      <c r="C64" s="50">
        <v>36</v>
      </c>
      <c r="D64" s="55">
        <f t="shared" si="45"/>
        <v>478</v>
      </c>
      <c r="E64" s="20">
        <v>192</v>
      </c>
      <c r="F64" s="30">
        <v>224</v>
      </c>
      <c r="G64" s="30">
        <v>2</v>
      </c>
      <c r="H64" s="96">
        <f>SUM(E64:G64)</f>
        <v>418</v>
      </c>
      <c r="I64" s="20">
        <v>21</v>
      </c>
      <c r="J64" s="22">
        <v>10</v>
      </c>
      <c r="K64" s="22">
        <v>0</v>
      </c>
      <c r="L64" s="99">
        <f>SUM(I64:K64)</f>
        <v>31</v>
      </c>
      <c r="M64" s="20">
        <v>10</v>
      </c>
      <c r="N64" s="61">
        <v>1</v>
      </c>
      <c r="O64" s="20">
        <v>15</v>
      </c>
      <c r="P64" s="61">
        <v>3</v>
      </c>
      <c r="Q64" s="102">
        <f>SUM(M64:P64)</f>
        <v>29</v>
      </c>
      <c r="R64" s="50">
        <v>69</v>
      </c>
      <c r="S64" s="55">
        <f>D64-537</f>
        <v>-59</v>
      </c>
      <c r="T64" s="116"/>
      <c r="U64" s="116"/>
      <c r="V64" s="13" t="s">
        <v>98</v>
      </c>
      <c r="W64" s="9"/>
      <c r="X64" s="50">
        <v>39</v>
      </c>
      <c r="Y64" s="50">
        <v>36</v>
      </c>
      <c r="Z64" s="50">
        <f t="shared" si="3"/>
        <v>-3</v>
      </c>
      <c r="AA64" s="55">
        <v>537</v>
      </c>
      <c r="AB64" s="55">
        <f t="shared" si="4"/>
        <v>478</v>
      </c>
      <c r="AC64" s="55">
        <f t="shared" si="5"/>
        <v>-59</v>
      </c>
      <c r="AD64" s="120">
        <f t="shared" si="43"/>
        <v>-0.10986964618249534</v>
      </c>
      <c r="AE64" s="137">
        <f t="shared" si="9"/>
        <v>0.14435146443514643</v>
      </c>
      <c r="AF64" s="50">
        <f>COUNTIF('Mannschaftswettb. - Mannschaft'!E:E,'Übersicht Anmeldungen OBL 2021'!A64)</f>
        <v>4</v>
      </c>
      <c r="AG64" s="154">
        <f t="shared" si="7"/>
        <v>0.83682008368200833</v>
      </c>
      <c r="AH64" s="155">
        <f t="shared" si="8"/>
        <v>0.1111111111111111</v>
      </c>
    </row>
    <row r="65" spans="1:34" ht="16.5" thickBot="1" x14ac:dyDescent="0.3">
      <c r="A65" s="71" t="s">
        <v>23</v>
      </c>
      <c r="B65" s="72" t="s">
        <v>24</v>
      </c>
      <c r="C65" s="73">
        <f t="shared" ref="C65:S67" si="62">SUM(C66:C66)</f>
        <v>25</v>
      </c>
      <c r="D65" s="73">
        <f t="shared" si="62"/>
        <v>267</v>
      </c>
      <c r="E65" s="74">
        <f t="shared" si="62"/>
        <v>107</v>
      </c>
      <c r="F65" s="75">
        <f t="shared" si="62"/>
        <v>128</v>
      </c>
      <c r="G65" s="75">
        <f t="shared" si="62"/>
        <v>0</v>
      </c>
      <c r="H65" s="76">
        <f t="shared" si="62"/>
        <v>235</v>
      </c>
      <c r="I65" s="74">
        <f t="shared" si="62"/>
        <v>20</v>
      </c>
      <c r="J65" s="75">
        <f t="shared" si="62"/>
        <v>11</v>
      </c>
      <c r="K65" s="75">
        <f t="shared" si="62"/>
        <v>0</v>
      </c>
      <c r="L65" s="76">
        <f t="shared" si="62"/>
        <v>31</v>
      </c>
      <c r="M65" s="74">
        <f t="shared" si="62"/>
        <v>1</v>
      </c>
      <c r="N65" s="76">
        <f t="shared" si="62"/>
        <v>0</v>
      </c>
      <c r="O65" s="74">
        <f t="shared" si="62"/>
        <v>0</v>
      </c>
      <c r="P65" s="76">
        <f t="shared" si="62"/>
        <v>0</v>
      </c>
      <c r="Q65" s="77">
        <f t="shared" si="62"/>
        <v>1</v>
      </c>
      <c r="R65" s="73">
        <f t="shared" si="62"/>
        <v>54</v>
      </c>
      <c r="S65" s="73">
        <f t="shared" si="62"/>
        <v>-78</v>
      </c>
      <c r="T65" s="116"/>
      <c r="U65" s="116"/>
      <c r="V65" s="71" t="s">
        <v>23</v>
      </c>
      <c r="W65" s="72" t="s">
        <v>24</v>
      </c>
      <c r="X65" s="73">
        <f t="shared" ref="X65" si="63">SUM(X66:X66)</f>
        <v>28</v>
      </c>
      <c r="Y65" s="73">
        <f t="shared" ref="Y65" si="64">SUM(Y66:Y66)</f>
        <v>25</v>
      </c>
      <c r="Z65" s="73">
        <f t="shared" ref="Z65:Z73" si="65">Y65-X65</f>
        <v>-3</v>
      </c>
      <c r="AA65" s="73">
        <v>345</v>
      </c>
      <c r="AB65" s="73">
        <f t="shared" ref="AB65:AB73" si="66">D65</f>
        <v>267</v>
      </c>
      <c r="AC65" s="73">
        <f t="shared" ref="AC65:AC73" si="67">AB65-AA65</f>
        <v>-78</v>
      </c>
      <c r="AD65" s="118">
        <f t="shared" si="43"/>
        <v>-0.22608695652173913</v>
      </c>
      <c r="AE65" s="118">
        <f t="shared" si="9"/>
        <v>0.20224719101123595</v>
      </c>
      <c r="AF65" s="73">
        <f t="shared" ref="AF65" si="68">SUM(AF66:AF66)</f>
        <v>1</v>
      </c>
      <c r="AG65" s="151">
        <f t="shared" si="7"/>
        <v>0.37453183520599254</v>
      </c>
      <c r="AH65" s="151">
        <f t="shared" si="8"/>
        <v>0.04</v>
      </c>
    </row>
    <row r="66" spans="1:34" ht="16.5" thickBot="1" x14ac:dyDescent="0.3">
      <c r="A66" s="17" t="s">
        <v>66</v>
      </c>
      <c r="B66" s="113"/>
      <c r="C66" s="68">
        <v>25</v>
      </c>
      <c r="D66" s="114">
        <f t="shared" si="45"/>
        <v>267</v>
      </c>
      <c r="E66" s="26">
        <v>107</v>
      </c>
      <c r="F66" s="32">
        <v>128</v>
      </c>
      <c r="G66" s="32">
        <v>0</v>
      </c>
      <c r="H66" s="111">
        <f>SUM(E66:G66)</f>
        <v>235</v>
      </c>
      <c r="I66" s="26">
        <v>20</v>
      </c>
      <c r="J66" s="27">
        <v>11</v>
      </c>
      <c r="K66" s="27">
        <v>0</v>
      </c>
      <c r="L66" s="110">
        <f>SUM(I66:K66)</f>
        <v>31</v>
      </c>
      <c r="M66" s="26">
        <v>1</v>
      </c>
      <c r="N66" s="70">
        <v>0</v>
      </c>
      <c r="O66" s="26">
        <v>0</v>
      </c>
      <c r="P66" s="70">
        <v>0</v>
      </c>
      <c r="Q66" s="112">
        <f>SUM(M66:P66)</f>
        <v>1</v>
      </c>
      <c r="R66" s="68">
        <v>54</v>
      </c>
      <c r="S66" s="69">
        <f>D66-345</f>
        <v>-78</v>
      </c>
      <c r="T66" s="116"/>
      <c r="U66" s="116"/>
      <c r="V66" s="17" t="s">
        <v>66</v>
      </c>
      <c r="W66" s="12"/>
      <c r="X66" s="68">
        <v>28</v>
      </c>
      <c r="Y66" s="68">
        <v>25</v>
      </c>
      <c r="Z66" s="68">
        <f t="shared" si="65"/>
        <v>-3</v>
      </c>
      <c r="AA66" s="114">
        <v>345</v>
      </c>
      <c r="AB66" s="114">
        <f t="shared" si="66"/>
        <v>267</v>
      </c>
      <c r="AC66" s="114">
        <f t="shared" si="67"/>
        <v>-78</v>
      </c>
      <c r="AD66" s="125">
        <f t="shared" si="43"/>
        <v>-0.22608695652173913</v>
      </c>
      <c r="AE66" s="142">
        <f t="shared" ref="AE66:AE73" si="69">R66/D66</f>
        <v>0.20224719101123595</v>
      </c>
      <c r="AF66" s="68">
        <f>COUNTIF('Mannschaftswettb. - Mannschaft'!E:E,'Übersicht Anmeldungen OBL 2021'!A66)</f>
        <v>1</v>
      </c>
      <c r="AG66" s="162">
        <f t="shared" si="7"/>
        <v>0.37453183520599254</v>
      </c>
      <c r="AH66" s="163">
        <f t="shared" si="8"/>
        <v>0.04</v>
      </c>
    </row>
    <row r="67" spans="1:34" ht="16.5" thickBot="1" x14ac:dyDescent="0.3">
      <c r="A67" s="71" t="s">
        <v>25</v>
      </c>
      <c r="B67" s="72" t="s">
        <v>26</v>
      </c>
      <c r="C67" s="73">
        <f>SUM(C68:C68)</f>
        <v>18</v>
      </c>
      <c r="D67" s="73">
        <f t="shared" si="62"/>
        <v>211</v>
      </c>
      <c r="E67" s="74">
        <f t="shared" ref="E67:R67" si="70">SUM(E68:E68)</f>
        <v>96</v>
      </c>
      <c r="F67" s="75">
        <f t="shared" si="70"/>
        <v>68</v>
      </c>
      <c r="G67" s="75">
        <f t="shared" si="70"/>
        <v>2</v>
      </c>
      <c r="H67" s="76">
        <f t="shared" si="70"/>
        <v>166</v>
      </c>
      <c r="I67" s="74">
        <f t="shared" si="70"/>
        <v>2</v>
      </c>
      <c r="J67" s="75">
        <f t="shared" si="70"/>
        <v>7</v>
      </c>
      <c r="K67" s="75">
        <f t="shared" si="70"/>
        <v>0</v>
      </c>
      <c r="L67" s="76">
        <f t="shared" si="70"/>
        <v>9</v>
      </c>
      <c r="M67" s="74">
        <f t="shared" si="70"/>
        <v>4</v>
      </c>
      <c r="N67" s="76">
        <f t="shared" si="70"/>
        <v>0</v>
      </c>
      <c r="O67" s="74">
        <f t="shared" si="70"/>
        <v>21</v>
      </c>
      <c r="P67" s="76">
        <f t="shared" si="70"/>
        <v>11</v>
      </c>
      <c r="Q67" s="77">
        <f t="shared" si="70"/>
        <v>36</v>
      </c>
      <c r="R67" s="73">
        <f t="shared" si="70"/>
        <v>29</v>
      </c>
      <c r="S67" s="73">
        <f>SUM(S68:S68)</f>
        <v>-82</v>
      </c>
      <c r="T67" s="116"/>
      <c r="U67" s="116"/>
      <c r="V67" s="71" t="s">
        <v>25</v>
      </c>
      <c r="W67" s="72" t="s">
        <v>26</v>
      </c>
      <c r="X67" s="73">
        <f>SUM(X68:X68)</f>
        <v>17</v>
      </c>
      <c r="Y67" s="73">
        <f>SUM(Y68:Y68)</f>
        <v>18</v>
      </c>
      <c r="Z67" s="73">
        <f t="shared" si="65"/>
        <v>1</v>
      </c>
      <c r="AA67" s="83">
        <v>293</v>
      </c>
      <c r="AB67" s="83">
        <f t="shared" si="66"/>
        <v>211</v>
      </c>
      <c r="AC67" s="83">
        <f t="shared" si="67"/>
        <v>-82</v>
      </c>
      <c r="AD67" s="118">
        <f t="shared" si="43"/>
        <v>-0.27986348122866894</v>
      </c>
      <c r="AE67" s="118">
        <f t="shared" si="69"/>
        <v>0.13744075829383887</v>
      </c>
      <c r="AF67" s="73">
        <f t="shared" ref="AF67" si="71">SUM(AF68:AF68)</f>
        <v>1</v>
      </c>
      <c r="AG67" s="151">
        <f t="shared" si="7"/>
        <v>0.47393364928909953</v>
      </c>
      <c r="AH67" s="151">
        <f t="shared" si="8"/>
        <v>5.5555555555555552E-2</v>
      </c>
    </row>
    <row r="68" spans="1:34" ht="16.5" thickBot="1" x14ac:dyDescent="0.3">
      <c r="A68" s="17" t="s">
        <v>82</v>
      </c>
      <c r="B68" s="113"/>
      <c r="C68" s="84">
        <v>18</v>
      </c>
      <c r="D68" s="55">
        <f t="shared" si="45"/>
        <v>211</v>
      </c>
      <c r="E68" s="85">
        <v>96</v>
      </c>
      <c r="F68" s="41">
        <v>68</v>
      </c>
      <c r="G68" s="41">
        <v>2</v>
      </c>
      <c r="H68" s="97">
        <f>SUM(E68:G68)</f>
        <v>166</v>
      </c>
      <c r="I68" s="85">
        <v>2</v>
      </c>
      <c r="J68" s="86">
        <v>7</v>
      </c>
      <c r="K68" s="86">
        <v>0</v>
      </c>
      <c r="L68" s="100">
        <f>SUM(I68:K68)</f>
        <v>9</v>
      </c>
      <c r="M68" s="85">
        <v>4</v>
      </c>
      <c r="N68" s="62">
        <v>0</v>
      </c>
      <c r="O68" s="85">
        <v>21</v>
      </c>
      <c r="P68" s="62">
        <v>11</v>
      </c>
      <c r="Q68" s="112">
        <f>SUM(M68:P68)</f>
        <v>36</v>
      </c>
      <c r="R68" s="84">
        <v>29</v>
      </c>
      <c r="S68" s="69">
        <f>D68-293</f>
        <v>-82</v>
      </c>
      <c r="T68" s="116"/>
      <c r="U68" s="116"/>
      <c r="V68" s="17" t="s">
        <v>82</v>
      </c>
      <c r="W68" s="12"/>
      <c r="X68" s="84">
        <v>17</v>
      </c>
      <c r="Y68" s="84">
        <v>18</v>
      </c>
      <c r="Z68" s="84">
        <f t="shared" si="65"/>
        <v>1</v>
      </c>
      <c r="AA68" s="55">
        <v>293</v>
      </c>
      <c r="AB68" s="55">
        <f t="shared" si="66"/>
        <v>211</v>
      </c>
      <c r="AC68" s="55">
        <f t="shared" si="67"/>
        <v>-82</v>
      </c>
      <c r="AD68" s="126">
        <f t="shared" si="43"/>
        <v>-0.27986348122866894</v>
      </c>
      <c r="AE68" s="143">
        <f t="shared" si="69"/>
        <v>0.13744075829383887</v>
      </c>
      <c r="AF68" s="84">
        <f>COUNTIF('Mannschaftswettb. - Mannschaft'!E:E,'Übersicht Anmeldungen OBL 2021'!A68)</f>
        <v>1</v>
      </c>
      <c r="AG68" s="154">
        <f t="shared" ref="AG68:AG73" si="72">AF68/D68*100</f>
        <v>0.47393364928909953</v>
      </c>
      <c r="AH68" s="164">
        <f t="shared" ref="AH68:AH73" si="73">AF68/C68</f>
        <v>5.5555555555555552E-2</v>
      </c>
    </row>
    <row r="69" spans="1:34" ht="16.5" thickBot="1" x14ac:dyDescent="0.3">
      <c r="A69" s="71" t="s">
        <v>27</v>
      </c>
      <c r="B69" s="72" t="s">
        <v>1</v>
      </c>
      <c r="C69" s="73">
        <f t="shared" ref="C69:S69" si="74">SUM(C70:C73)</f>
        <v>89</v>
      </c>
      <c r="D69" s="73">
        <f t="shared" si="74"/>
        <v>1450</v>
      </c>
      <c r="E69" s="74">
        <f t="shared" si="74"/>
        <v>471</v>
      </c>
      <c r="F69" s="75">
        <f t="shared" si="74"/>
        <v>776</v>
      </c>
      <c r="G69" s="75">
        <f t="shared" si="74"/>
        <v>0</v>
      </c>
      <c r="H69" s="76">
        <f t="shared" si="74"/>
        <v>1247</v>
      </c>
      <c r="I69" s="74">
        <f t="shared" si="74"/>
        <v>88</v>
      </c>
      <c r="J69" s="75">
        <f t="shared" si="74"/>
        <v>94</v>
      </c>
      <c r="K69" s="75">
        <f t="shared" si="74"/>
        <v>0</v>
      </c>
      <c r="L69" s="76">
        <f t="shared" si="74"/>
        <v>182</v>
      </c>
      <c r="M69" s="74">
        <f t="shared" si="74"/>
        <v>7</v>
      </c>
      <c r="N69" s="76">
        <f t="shared" si="74"/>
        <v>1</v>
      </c>
      <c r="O69" s="74">
        <f t="shared" si="74"/>
        <v>7</v>
      </c>
      <c r="P69" s="76">
        <f t="shared" si="74"/>
        <v>6</v>
      </c>
      <c r="Q69" s="77">
        <f t="shared" si="74"/>
        <v>21</v>
      </c>
      <c r="R69" s="73">
        <f t="shared" si="74"/>
        <v>236</v>
      </c>
      <c r="S69" s="73">
        <f t="shared" si="74"/>
        <v>-135</v>
      </c>
      <c r="T69" s="116"/>
      <c r="U69" s="116"/>
      <c r="V69" s="71" t="s">
        <v>27</v>
      </c>
      <c r="W69" s="72" t="s">
        <v>1</v>
      </c>
      <c r="X69" s="73">
        <f t="shared" ref="X69" si="75">SUM(X70:X73)</f>
        <v>94</v>
      </c>
      <c r="Y69" s="73">
        <f t="shared" ref="Y69" si="76">SUM(Y70:Y73)</f>
        <v>89</v>
      </c>
      <c r="Z69" s="73">
        <f t="shared" si="65"/>
        <v>-5</v>
      </c>
      <c r="AA69" s="73">
        <v>1585</v>
      </c>
      <c r="AB69" s="73">
        <f t="shared" si="66"/>
        <v>1450</v>
      </c>
      <c r="AC69" s="73">
        <f t="shared" si="67"/>
        <v>-135</v>
      </c>
      <c r="AD69" s="118">
        <f t="shared" si="43"/>
        <v>-8.5173501577287064E-2</v>
      </c>
      <c r="AE69" s="118">
        <f t="shared" si="69"/>
        <v>0.16275862068965516</v>
      </c>
      <c r="AF69" s="73">
        <f t="shared" ref="AF69" si="77">SUM(AF70:AF73)</f>
        <v>5</v>
      </c>
      <c r="AG69" s="151">
        <f t="shared" si="72"/>
        <v>0.34482758620689657</v>
      </c>
      <c r="AH69" s="151">
        <f t="shared" si="73"/>
        <v>5.6179775280898875E-2</v>
      </c>
    </row>
    <row r="70" spans="1:34" x14ac:dyDescent="0.25">
      <c r="A70" s="42" t="s">
        <v>83</v>
      </c>
      <c r="B70" s="67"/>
      <c r="C70" s="87">
        <v>22</v>
      </c>
      <c r="D70" s="88">
        <f t="shared" si="45"/>
        <v>296</v>
      </c>
      <c r="E70" s="89">
        <v>111</v>
      </c>
      <c r="F70" s="90">
        <v>164</v>
      </c>
      <c r="G70" s="90">
        <v>0</v>
      </c>
      <c r="H70" s="104">
        <f>SUM(E70:G70)</f>
        <v>275</v>
      </c>
      <c r="I70" s="89">
        <v>11</v>
      </c>
      <c r="J70" s="91">
        <v>8</v>
      </c>
      <c r="K70" s="91">
        <v>0</v>
      </c>
      <c r="L70" s="106">
        <f>SUM(I70:K70)</f>
        <v>19</v>
      </c>
      <c r="M70" s="89">
        <v>2</v>
      </c>
      <c r="N70" s="92">
        <v>0</v>
      </c>
      <c r="O70" s="89">
        <v>0</v>
      </c>
      <c r="P70" s="92">
        <v>0</v>
      </c>
      <c r="Q70" s="108">
        <f>SUM(M70:P70)</f>
        <v>2</v>
      </c>
      <c r="R70" s="87">
        <v>30</v>
      </c>
      <c r="S70" s="88">
        <f>D70-342</f>
        <v>-46</v>
      </c>
      <c r="T70" s="116"/>
      <c r="U70" s="116"/>
      <c r="V70" s="42" t="s">
        <v>83</v>
      </c>
      <c r="W70" s="94"/>
      <c r="X70" s="87">
        <v>24</v>
      </c>
      <c r="Y70" s="87">
        <v>22</v>
      </c>
      <c r="Z70" s="87">
        <f t="shared" si="65"/>
        <v>-2</v>
      </c>
      <c r="AA70" s="88">
        <v>342</v>
      </c>
      <c r="AB70" s="88">
        <f t="shared" si="66"/>
        <v>296</v>
      </c>
      <c r="AC70" s="88">
        <f t="shared" si="67"/>
        <v>-46</v>
      </c>
      <c r="AD70" s="123">
        <f t="shared" si="43"/>
        <v>-0.13450292397660818</v>
      </c>
      <c r="AE70" s="140">
        <f t="shared" si="69"/>
        <v>0.10135135135135136</v>
      </c>
      <c r="AF70" s="87">
        <f>COUNTIF('Mannschaftswettb. - Mannschaft'!E:E,'Übersicht Anmeldungen OBL 2021'!A70)</f>
        <v>1</v>
      </c>
      <c r="AG70" s="158">
        <f t="shared" si="72"/>
        <v>0.33783783783783783</v>
      </c>
      <c r="AH70" s="159">
        <f t="shared" si="73"/>
        <v>4.5454545454545456E-2</v>
      </c>
    </row>
    <row r="71" spans="1:34" x14ac:dyDescent="0.25">
      <c r="A71" s="14" t="s">
        <v>84</v>
      </c>
      <c r="B71" s="46"/>
      <c r="C71" s="51">
        <v>27</v>
      </c>
      <c r="D71" s="55">
        <f t="shared" si="45"/>
        <v>343</v>
      </c>
      <c r="E71" s="18">
        <v>106</v>
      </c>
      <c r="F71" s="28">
        <v>193</v>
      </c>
      <c r="G71" s="28">
        <v>0</v>
      </c>
      <c r="H71" s="96">
        <f>SUM(E71:G71)</f>
        <v>299</v>
      </c>
      <c r="I71" s="18">
        <v>17</v>
      </c>
      <c r="J71" s="23">
        <v>19</v>
      </c>
      <c r="K71" s="23">
        <v>0</v>
      </c>
      <c r="L71" s="99">
        <f>SUM(I71:K71)</f>
        <v>36</v>
      </c>
      <c r="M71" s="18">
        <v>0</v>
      </c>
      <c r="N71" s="63">
        <v>0</v>
      </c>
      <c r="O71" s="18">
        <v>3</v>
      </c>
      <c r="P71" s="63">
        <v>5</v>
      </c>
      <c r="Q71" s="102">
        <f t="shared" ref="Q71:Q73" si="78">SUM(M71:P71)</f>
        <v>8</v>
      </c>
      <c r="R71" s="51">
        <v>54</v>
      </c>
      <c r="S71" s="55">
        <f>D71-368</f>
        <v>-25</v>
      </c>
      <c r="T71" s="116"/>
      <c r="U71" s="116"/>
      <c r="V71" s="14" t="s">
        <v>84</v>
      </c>
      <c r="W71" s="8"/>
      <c r="X71" s="51">
        <v>27</v>
      </c>
      <c r="Y71" s="51">
        <v>27</v>
      </c>
      <c r="Z71" s="51">
        <f t="shared" si="65"/>
        <v>0</v>
      </c>
      <c r="AA71" s="55">
        <v>368</v>
      </c>
      <c r="AB71" s="55">
        <f t="shared" si="66"/>
        <v>343</v>
      </c>
      <c r="AC71" s="55">
        <f t="shared" si="67"/>
        <v>-25</v>
      </c>
      <c r="AD71" s="121">
        <f t="shared" si="43"/>
        <v>-6.7934782608695649E-2</v>
      </c>
      <c r="AE71" s="138">
        <f t="shared" si="69"/>
        <v>0.15743440233236153</v>
      </c>
      <c r="AF71" s="51">
        <f>COUNTIF('Mannschaftswettb. - Mannschaft'!E:E,'Übersicht Anmeldungen OBL 2021'!A71)</f>
        <v>0</v>
      </c>
      <c r="AG71" s="154">
        <f t="shared" si="72"/>
        <v>0</v>
      </c>
      <c r="AH71" s="156">
        <f t="shared" si="73"/>
        <v>0</v>
      </c>
    </row>
    <row r="72" spans="1:34" x14ac:dyDescent="0.25">
      <c r="A72" s="14" t="s">
        <v>96</v>
      </c>
      <c r="B72" s="46"/>
      <c r="C72" s="51">
        <v>25</v>
      </c>
      <c r="D72" s="55">
        <f t="shared" si="45"/>
        <v>496</v>
      </c>
      <c r="E72" s="18">
        <v>136</v>
      </c>
      <c r="F72" s="28">
        <v>264</v>
      </c>
      <c r="G72" s="28">
        <v>0</v>
      </c>
      <c r="H72" s="96">
        <f>SUM(E72:G72)</f>
        <v>400</v>
      </c>
      <c r="I72" s="18">
        <v>37</v>
      </c>
      <c r="J72" s="23">
        <v>50</v>
      </c>
      <c r="K72" s="23">
        <v>0</v>
      </c>
      <c r="L72" s="99">
        <f>SUM(I72:K72)</f>
        <v>87</v>
      </c>
      <c r="M72" s="18">
        <v>4</v>
      </c>
      <c r="N72" s="63">
        <v>1</v>
      </c>
      <c r="O72" s="18">
        <v>3</v>
      </c>
      <c r="P72" s="63">
        <v>1</v>
      </c>
      <c r="Q72" s="102">
        <f t="shared" si="78"/>
        <v>9</v>
      </c>
      <c r="R72" s="51">
        <v>99</v>
      </c>
      <c r="S72" s="55">
        <f>D72-530</f>
        <v>-34</v>
      </c>
      <c r="T72" s="116"/>
      <c r="U72" s="116"/>
      <c r="V72" s="14" t="s">
        <v>96</v>
      </c>
      <c r="W72" s="8"/>
      <c r="X72" s="51">
        <v>26</v>
      </c>
      <c r="Y72" s="51">
        <v>25</v>
      </c>
      <c r="Z72" s="51">
        <f t="shared" si="65"/>
        <v>-1</v>
      </c>
      <c r="AA72" s="55">
        <v>530</v>
      </c>
      <c r="AB72" s="55">
        <f t="shared" si="66"/>
        <v>496</v>
      </c>
      <c r="AC72" s="55">
        <f t="shared" si="67"/>
        <v>-34</v>
      </c>
      <c r="AD72" s="121">
        <f t="shared" si="43"/>
        <v>-6.4150943396226415E-2</v>
      </c>
      <c r="AE72" s="138">
        <f t="shared" si="69"/>
        <v>0.19959677419354838</v>
      </c>
      <c r="AF72" s="51">
        <f>COUNTIF('Mannschaftswettb. - Mannschaft'!E:E,'Übersicht Anmeldungen OBL 2021'!A72)</f>
        <v>0</v>
      </c>
      <c r="AG72" s="154">
        <f t="shared" si="72"/>
        <v>0</v>
      </c>
      <c r="AH72" s="156">
        <f t="shared" si="73"/>
        <v>0</v>
      </c>
    </row>
    <row r="73" spans="1:34" ht="16.5" thickBot="1" x14ac:dyDescent="0.3">
      <c r="A73" s="16" t="s">
        <v>97</v>
      </c>
      <c r="B73" s="48"/>
      <c r="C73" s="53">
        <v>15</v>
      </c>
      <c r="D73" s="93">
        <f t="shared" si="45"/>
        <v>315</v>
      </c>
      <c r="E73" s="21">
        <v>118</v>
      </c>
      <c r="F73" s="31">
        <v>155</v>
      </c>
      <c r="G73" s="31">
        <v>0</v>
      </c>
      <c r="H73" s="105">
        <f>SUM(E73:G73)</f>
        <v>273</v>
      </c>
      <c r="I73" s="21">
        <v>23</v>
      </c>
      <c r="J73" s="24">
        <v>17</v>
      </c>
      <c r="K73" s="24">
        <v>0</v>
      </c>
      <c r="L73" s="107">
        <f>SUM(I73:K73)</f>
        <v>40</v>
      </c>
      <c r="M73" s="21">
        <v>1</v>
      </c>
      <c r="N73" s="65">
        <v>0</v>
      </c>
      <c r="O73" s="21">
        <v>1</v>
      </c>
      <c r="P73" s="65">
        <v>0</v>
      </c>
      <c r="Q73" s="109">
        <f t="shared" si="78"/>
        <v>2</v>
      </c>
      <c r="R73" s="53">
        <v>53</v>
      </c>
      <c r="S73" s="58">
        <f>D73-345</f>
        <v>-30</v>
      </c>
      <c r="T73" s="116"/>
      <c r="U73" s="116"/>
      <c r="V73" s="16" t="s">
        <v>97</v>
      </c>
      <c r="W73" s="11"/>
      <c r="X73" s="53">
        <v>17</v>
      </c>
      <c r="Y73" s="53">
        <v>15</v>
      </c>
      <c r="Z73" s="53">
        <f t="shared" si="65"/>
        <v>-2</v>
      </c>
      <c r="AA73" s="93">
        <v>345</v>
      </c>
      <c r="AB73" s="93">
        <f t="shared" si="66"/>
        <v>315</v>
      </c>
      <c r="AC73" s="93">
        <f t="shared" si="67"/>
        <v>-30</v>
      </c>
      <c r="AD73" s="124">
        <f t="shared" si="43"/>
        <v>-8.6956521739130432E-2</v>
      </c>
      <c r="AE73" s="141">
        <f t="shared" si="69"/>
        <v>0.16825396825396827</v>
      </c>
      <c r="AF73" s="53">
        <f>COUNTIF('Mannschaftswettb. - Mannschaft'!E:E,'Übersicht Anmeldungen OBL 2021'!A73)</f>
        <v>4</v>
      </c>
      <c r="AG73" s="160">
        <f t="shared" si="72"/>
        <v>1.2698412698412698</v>
      </c>
      <c r="AH73" s="161">
        <f t="shared" si="73"/>
        <v>0.26666666666666666</v>
      </c>
    </row>
  </sheetData>
  <mergeCells count="14">
    <mergeCell ref="AF1:AF2"/>
    <mergeCell ref="AG1:AG2"/>
    <mergeCell ref="AH1:AH2"/>
    <mergeCell ref="M1:N1"/>
    <mergeCell ref="A1:B2"/>
    <mergeCell ref="C1:C2"/>
    <mergeCell ref="D1:D2"/>
    <mergeCell ref="E1:H1"/>
    <mergeCell ref="I1:L1"/>
    <mergeCell ref="O1:P1"/>
    <mergeCell ref="Q1:Q2"/>
    <mergeCell ref="R1:R2"/>
    <mergeCell ref="S1:S2"/>
    <mergeCell ref="V1:AE1"/>
  </mergeCells>
  <printOptions verticalCentered="1"/>
  <pageMargins left="0.78740157480314965" right="0.78740157480314965" top="0.78740157480314965" bottom="0.39370078740157483" header="0.35433070866141736" footer="0.39370078740157483"/>
  <pageSetup paperSize="9" scale="81" fitToWidth="2" fitToHeight="2" orientation="landscape" verticalDpi="300" r:id="rId1"/>
  <headerFooter alignWithMargins="0">
    <oddHeader xml:space="preserve">&amp;C&amp;"Arial,Fett"&amp;16Mitgliederentwicklung DSkV 2021 - 20-05-2021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pane xSplit="3" ySplit="2" topLeftCell="D3" activePane="bottomRight" state="frozen"/>
      <selection pane="topRight"/>
      <selection pane="bottomLeft"/>
      <selection pane="bottomRight" activeCell="E3" sqref="E3"/>
    </sheetView>
  </sheetViews>
  <sheetFormatPr baseColWidth="10" defaultColWidth="9.140625" defaultRowHeight="15" x14ac:dyDescent="0.25"/>
  <cols>
    <col min="1" max="1" width="17.140625" style="149" bestFit="1" customWidth="1"/>
    <col min="2" max="2" width="15.140625" style="149" bestFit="1" customWidth="1"/>
    <col min="3" max="3" width="12.5703125" style="149" bestFit="1" customWidth="1"/>
    <col min="4" max="4" width="20.5703125" style="149" bestFit="1" customWidth="1"/>
    <col min="5" max="16384" width="9.140625" style="147"/>
  </cols>
  <sheetData>
    <row r="1" spans="1:5" s="148" customFormat="1" x14ac:dyDescent="0.25">
      <c r="A1" s="147" t="s">
        <v>111</v>
      </c>
      <c r="B1" s="147" t="s">
        <v>112</v>
      </c>
      <c r="C1" s="147" t="s">
        <v>113</v>
      </c>
      <c r="D1" s="147" t="s">
        <v>114</v>
      </c>
      <c r="E1" s="148" t="s">
        <v>194</v>
      </c>
    </row>
    <row r="2" spans="1:5" s="148" customFormat="1" x14ac:dyDescent="0.25">
      <c r="A2" s="147"/>
      <c r="B2" s="147"/>
      <c r="C2" s="147"/>
      <c r="D2" s="147"/>
    </row>
    <row r="3" spans="1:5" x14ac:dyDescent="0.25">
      <c r="A3" s="147" t="s">
        <v>150</v>
      </c>
      <c r="B3" s="147" t="s">
        <v>151</v>
      </c>
      <c r="C3" s="147" t="s">
        <v>150</v>
      </c>
      <c r="E3" s="147" t="str">
        <f>MID(B3,1,5)</f>
        <v>01.19</v>
      </c>
    </row>
    <row r="4" spans="1:5" x14ac:dyDescent="0.25">
      <c r="A4" s="147" t="s">
        <v>179</v>
      </c>
      <c r="B4" s="147" t="s">
        <v>180</v>
      </c>
      <c r="C4" s="147" t="s">
        <v>179</v>
      </c>
      <c r="E4" s="147" t="str">
        <f t="shared" ref="E4:E41" si="0">MID(B4,1,5)</f>
        <v>02.21</v>
      </c>
    </row>
    <row r="5" spans="1:5" x14ac:dyDescent="0.25">
      <c r="A5" s="147" t="s">
        <v>130</v>
      </c>
      <c r="B5" s="147" t="s">
        <v>131</v>
      </c>
      <c r="C5" s="147" t="s">
        <v>130</v>
      </c>
      <c r="E5" s="147" t="str">
        <f t="shared" si="0"/>
        <v>02.21</v>
      </c>
    </row>
    <row r="6" spans="1:5" x14ac:dyDescent="0.25">
      <c r="A6" s="147" t="s">
        <v>134</v>
      </c>
      <c r="B6" s="147" t="s">
        <v>135</v>
      </c>
      <c r="C6" s="147" t="s">
        <v>136</v>
      </c>
      <c r="E6" s="147" t="str">
        <f t="shared" si="0"/>
        <v>02.22</v>
      </c>
    </row>
    <row r="7" spans="1:5" x14ac:dyDescent="0.25">
      <c r="A7" s="147" t="s">
        <v>181</v>
      </c>
      <c r="B7" s="147" t="s">
        <v>182</v>
      </c>
      <c r="C7" s="147" t="s">
        <v>181</v>
      </c>
      <c r="E7" s="147" t="str">
        <f t="shared" si="0"/>
        <v>03.30</v>
      </c>
    </row>
    <row r="8" spans="1:5" x14ac:dyDescent="0.25">
      <c r="A8" s="147" t="s">
        <v>188</v>
      </c>
      <c r="B8" s="147" t="s">
        <v>189</v>
      </c>
      <c r="C8" s="147" t="s">
        <v>188</v>
      </c>
      <c r="E8" s="147" t="str">
        <f t="shared" si="0"/>
        <v>03.30</v>
      </c>
    </row>
    <row r="9" spans="1:5" x14ac:dyDescent="0.25">
      <c r="A9" s="147" t="s">
        <v>148</v>
      </c>
      <c r="B9" s="147" t="s">
        <v>149</v>
      </c>
      <c r="C9" s="147" t="s">
        <v>148</v>
      </c>
      <c r="E9" s="147" t="str">
        <f t="shared" si="0"/>
        <v>03.33</v>
      </c>
    </row>
    <row r="10" spans="1:5" x14ac:dyDescent="0.25">
      <c r="A10" s="147" t="s">
        <v>128</v>
      </c>
      <c r="B10" s="147" t="s">
        <v>129</v>
      </c>
      <c r="C10" s="147" t="s">
        <v>128</v>
      </c>
      <c r="E10" s="147" t="str">
        <f t="shared" si="0"/>
        <v>03.33</v>
      </c>
    </row>
    <row r="11" spans="1:5" x14ac:dyDescent="0.25">
      <c r="A11" s="147" t="s">
        <v>192</v>
      </c>
      <c r="B11" s="147" t="s">
        <v>193</v>
      </c>
      <c r="C11" s="147" t="s">
        <v>192</v>
      </c>
      <c r="E11" s="147" t="str">
        <f t="shared" si="0"/>
        <v>03.39</v>
      </c>
    </row>
    <row r="12" spans="1:5" x14ac:dyDescent="0.25">
      <c r="A12" s="147" t="s">
        <v>171</v>
      </c>
      <c r="B12" s="147" t="s">
        <v>172</v>
      </c>
      <c r="C12" s="147" t="s">
        <v>171</v>
      </c>
      <c r="E12" s="147" t="str">
        <f t="shared" si="0"/>
        <v>03.39</v>
      </c>
    </row>
    <row r="13" spans="1:5" x14ac:dyDescent="0.25">
      <c r="A13" s="147" t="s">
        <v>139</v>
      </c>
      <c r="B13" s="147" t="s">
        <v>140</v>
      </c>
      <c r="C13" s="147" t="s">
        <v>139</v>
      </c>
      <c r="E13" s="147" t="str">
        <f t="shared" si="0"/>
        <v>03.39</v>
      </c>
    </row>
    <row r="14" spans="1:5" x14ac:dyDescent="0.25">
      <c r="A14" s="147" t="s">
        <v>132</v>
      </c>
      <c r="B14" s="147" t="s">
        <v>133</v>
      </c>
      <c r="C14" s="147" t="s">
        <v>132</v>
      </c>
      <c r="E14" s="147" t="str">
        <f t="shared" si="0"/>
        <v>04.44</v>
      </c>
    </row>
    <row r="15" spans="1:5" x14ac:dyDescent="0.25">
      <c r="A15" s="147" t="s">
        <v>143</v>
      </c>
      <c r="B15" s="147" t="s">
        <v>144</v>
      </c>
      <c r="C15" s="147" t="s">
        <v>143</v>
      </c>
      <c r="E15" s="147" t="str">
        <f t="shared" si="0"/>
        <v>04.44</v>
      </c>
    </row>
    <row r="16" spans="1:5" x14ac:dyDescent="0.25">
      <c r="A16" s="147" t="s">
        <v>137</v>
      </c>
      <c r="B16" s="147" t="s">
        <v>138</v>
      </c>
      <c r="C16" s="147" t="s">
        <v>137</v>
      </c>
      <c r="E16" s="147" t="str">
        <f t="shared" si="0"/>
        <v>05.50</v>
      </c>
    </row>
    <row r="17" spans="1:5" x14ac:dyDescent="0.25">
      <c r="A17" s="147" t="s">
        <v>141</v>
      </c>
      <c r="B17" s="147" t="s">
        <v>142</v>
      </c>
      <c r="C17" s="147" t="s">
        <v>141</v>
      </c>
      <c r="E17" s="147" t="str">
        <f t="shared" si="0"/>
        <v>05.50</v>
      </c>
    </row>
    <row r="18" spans="1:5" x14ac:dyDescent="0.25">
      <c r="A18" s="147" t="s">
        <v>183</v>
      </c>
      <c r="B18" s="147" t="s">
        <v>184</v>
      </c>
      <c r="C18" s="147" t="s">
        <v>185</v>
      </c>
      <c r="E18" s="147" t="str">
        <f t="shared" si="0"/>
        <v>05.53</v>
      </c>
    </row>
    <row r="19" spans="1:5" x14ac:dyDescent="0.25">
      <c r="A19" s="147" t="s">
        <v>122</v>
      </c>
      <c r="B19" s="147" t="s">
        <v>123</v>
      </c>
      <c r="C19" s="147" t="s">
        <v>122</v>
      </c>
      <c r="E19" s="147" t="str">
        <f t="shared" si="0"/>
        <v>06.55</v>
      </c>
    </row>
    <row r="20" spans="1:5" x14ac:dyDescent="0.25">
      <c r="A20" s="147" t="s">
        <v>173</v>
      </c>
      <c r="B20" s="147" t="s">
        <v>174</v>
      </c>
      <c r="C20" s="147" t="s">
        <v>175</v>
      </c>
      <c r="E20" s="147" t="str">
        <f t="shared" si="0"/>
        <v>06.66</v>
      </c>
    </row>
    <row r="21" spans="1:5" x14ac:dyDescent="0.25">
      <c r="A21" s="147" t="s">
        <v>176</v>
      </c>
      <c r="B21" s="147" t="s">
        <v>174</v>
      </c>
      <c r="C21" s="147" t="s">
        <v>175</v>
      </c>
      <c r="E21" s="147" t="str">
        <f t="shared" si="0"/>
        <v>06.66</v>
      </c>
    </row>
    <row r="22" spans="1:5" x14ac:dyDescent="0.25">
      <c r="A22" s="147" t="s">
        <v>177</v>
      </c>
      <c r="B22" s="147" t="s">
        <v>174</v>
      </c>
      <c r="C22" s="147" t="s">
        <v>175</v>
      </c>
      <c r="E22" s="147" t="str">
        <f t="shared" si="0"/>
        <v>06.66</v>
      </c>
    </row>
    <row r="23" spans="1:5" x14ac:dyDescent="0.25">
      <c r="A23" s="147" t="s">
        <v>178</v>
      </c>
      <c r="B23" s="147" t="s">
        <v>174</v>
      </c>
      <c r="C23" s="147" t="s">
        <v>175</v>
      </c>
      <c r="E23" s="147" t="str">
        <f t="shared" si="0"/>
        <v>06.66</v>
      </c>
    </row>
    <row r="24" spans="1:5" x14ac:dyDescent="0.25">
      <c r="A24" s="147" t="s">
        <v>159</v>
      </c>
      <c r="B24" s="147" t="s">
        <v>160</v>
      </c>
      <c r="C24" s="147" t="s">
        <v>161</v>
      </c>
      <c r="E24" s="147" t="str">
        <f t="shared" si="0"/>
        <v>07.01</v>
      </c>
    </row>
    <row r="25" spans="1:5" x14ac:dyDescent="0.25">
      <c r="A25" s="147" t="s">
        <v>162</v>
      </c>
      <c r="B25" s="147" t="s">
        <v>160</v>
      </c>
      <c r="C25" s="147" t="s">
        <v>161</v>
      </c>
      <c r="E25" s="147" t="str">
        <f t="shared" si="0"/>
        <v>07.01</v>
      </c>
    </row>
    <row r="26" spans="1:5" x14ac:dyDescent="0.25">
      <c r="A26" s="147" t="s">
        <v>115</v>
      </c>
      <c r="B26" s="147" t="s">
        <v>116</v>
      </c>
      <c r="C26" s="147" t="s">
        <v>115</v>
      </c>
      <c r="E26" s="147" t="str">
        <f t="shared" si="0"/>
        <v>07.01</v>
      </c>
    </row>
    <row r="27" spans="1:5" x14ac:dyDescent="0.25">
      <c r="A27" s="147" t="s">
        <v>155</v>
      </c>
      <c r="B27" s="147" t="s">
        <v>156</v>
      </c>
      <c r="C27" s="147" t="s">
        <v>157</v>
      </c>
      <c r="E27" s="147" t="str">
        <f t="shared" si="0"/>
        <v>07.07</v>
      </c>
    </row>
    <row r="28" spans="1:5" x14ac:dyDescent="0.25">
      <c r="A28" s="147" t="s">
        <v>158</v>
      </c>
      <c r="B28" s="147" t="s">
        <v>156</v>
      </c>
      <c r="C28" s="147" t="s">
        <v>157</v>
      </c>
      <c r="E28" s="147" t="str">
        <f t="shared" si="0"/>
        <v>07.07</v>
      </c>
    </row>
    <row r="29" spans="1:5" x14ac:dyDescent="0.25">
      <c r="A29" s="147" t="s">
        <v>165</v>
      </c>
      <c r="B29" s="147" t="s">
        <v>166</v>
      </c>
      <c r="C29" s="147" t="s">
        <v>167</v>
      </c>
      <c r="E29" s="147" t="str">
        <f t="shared" si="0"/>
        <v>08.83</v>
      </c>
    </row>
    <row r="30" spans="1:5" x14ac:dyDescent="0.25">
      <c r="A30" s="147" t="s">
        <v>168</v>
      </c>
      <c r="B30" s="147" t="s">
        <v>166</v>
      </c>
      <c r="C30" s="147" t="s">
        <v>167</v>
      </c>
      <c r="E30" s="147" t="str">
        <f t="shared" si="0"/>
        <v>08.83</v>
      </c>
    </row>
    <row r="31" spans="1:5" x14ac:dyDescent="0.25">
      <c r="A31" s="147" t="s">
        <v>163</v>
      </c>
      <c r="B31" s="147" t="s">
        <v>164</v>
      </c>
      <c r="C31" s="147" t="s">
        <v>163</v>
      </c>
      <c r="E31" s="147" t="str">
        <f t="shared" si="0"/>
        <v>10.10</v>
      </c>
    </row>
    <row r="32" spans="1:5" x14ac:dyDescent="0.25">
      <c r="A32" s="147" t="s">
        <v>145</v>
      </c>
      <c r="B32" s="147" t="s">
        <v>146</v>
      </c>
      <c r="C32" s="147" t="s">
        <v>147</v>
      </c>
      <c r="E32" s="147" t="str">
        <f t="shared" si="0"/>
        <v>10.10</v>
      </c>
    </row>
    <row r="33" spans="1:5" x14ac:dyDescent="0.25">
      <c r="A33" s="147" t="s">
        <v>126</v>
      </c>
      <c r="B33" s="147" t="s">
        <v>127</v>
      </c>
      <c r="C33" s="147" t="s">
        <v>126</v>
      </c>
      <c r="E33" s="147" t="str">
        <f t="shared" si="0"/>
        <v>10.10</v>
      </c>
    </row>
    <row r="34" spans="1:5" x14ac:dyDescent="0.25">
      <c r="A34" s="147" t="s">
        <v>152</v>
      </c>
      <c r="B34" s="147" t="s">
        <v>153</v>
      </c>
      <c r="C34" s="147" t="s">
        <v>154</v>
      </c>
      <c r="E34" s="147" t="str">
        <f t="shared" si="0"/>
        <v>10.10</v>
      </c>
    </row>
    <row r="35" spans="1:5" x14ac:dyDescent="0.25">
      <c r="A35" s="147" t="s">
        <v>124</v>
      </c>
      <c r="B35" s="147" t="s">
        <v>125</v>
      </c>
      <c r="C35" s="147" t="s">
        <v>124</v>
      </c>
      <c r="E35" s="147" t="str">
        <f t="shared" si="0"/>
        <v>11.01</v>
      </c>
    </row>
    <row r="36" spans="1:5" x14ac:dyDescent="0.25">
      <c r="A36" s="147" t="s">
        <v>190</v>
      </c>
      <c r="B36" s="147" t="s">
        <v>191</v>
      </c>
      <c r="C36" s="147" t="s">
        <v>190</v>
      </c>
      <c r="E36" s="147" t="str">
        <f t="shared" si="0"/>
        <v>12.12</v>
      </c>
    </row>
    <row r="37" spans="1:5" x14ac:dyDescent="0.25">
      <c r="A37" s="147" t="s">
        <v>186</v>
      </c>
      <c r="B37" s="147" t="s">
        <v>187</v>
      </c>
      <c r="C37" s="147" t="s">
        <v>186</v>
      </c>
      <c r="E37" s="147" t="str">
        <f t="shared" si="0"/>
        <v>14.01</v>
      </c>
    </row>
    <row r="38" spans="1:5" x14ac:dyDescent="0.25">
      <c r="A38" s="147" t="s">
        <v>169</v>
      </c>
      <c r="B38" s="147" t="s">
        <v>170</v>
      </c>
      <c r="C38" s="147" t="s">
        <v>169</v>
      </c>
      <c r="E38" s="147" t="str">
        <f t="shared" si="0"/>
        <v>14.04</v>
      </c>
    </row>
    <row r="39" spans="1:5" x14ac:dyDescent="0.25">
      <c r="A39" s="147" t="s">
        <v>117</v>
      </c>
      <c r="B39" s="147" t="s">
        <v>118</v>
      </c>
      <c r="C39" s="147" t="s">
        <v>119</v>
      </c>
      <c r="E39" s="147" t="str">
        <f t="shared" si="0"/>
        <v>14.04</v>
      </c>
    </row>
    <row r="40" spans="1:5" x14ac:dyDescent="0.25">
      <c r="A40" s="147" t="s">
        <v>120</v>
      </c>
      <c r="B40" s="147" t="s">
        <v>118</v>
      </c>
      <c r="C40" s="147" t="s">
        <v>119</v>
      </c>
      <c r="E40" s="147" t="str">
        <f t="shared" si="0"/>
        <v>14.04</v>
      </c>
    </row>
    <row r="41" spans="1:5" x14ac:dyDescent="0.25">
      <c r="A41" s="147" t="s">
        <v>121</v>
      </c>
      <c r="B41" s="147" t="s">
        <v>118</v>
      </c>
      <c r="C41" s="147" t="s">
        <v>119</v>
      </c>
      <c r="E41" s="147" t="str">
        <f t="shared" si="0"/>
        <v>14.04</v>
      </c>
    </row>
  </sheetData>
  <sortState ref="A3:D41">
    <sortCondition ref="B3:B4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Übersicht Anmeldungen OBL 2021</vt:lpstr>
      <vt:lpstr>Mannschaftswettb. - Mannschaft</vt:lpstr>
      <vt:lpstr>'Übersicht Anmeldungen OBL 2021'!Druckbereich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Heinz Jahnke</dc:creator>
  <cp:lastModifiedBy>Toni</cp:lastModifiedBy>
  <cp:lastPrinted>2021-05-23T09:21:28Z</cp:lastPrinted>
  <dcterms:created xsi:type="dcterms:W3CDTF">2006-04-06T16:02:54Z</dcterms:created>
  <dcterms:modified xsi:type="dcterms:W3CDTF">2021-05-28T20:40:07Z</dcterms:modified>
</cp:coreProperties>
</file>